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vir Singh Nagi\Desktop\JASVIRS_2022_23\DIGITAL_COURSE_ONLINE\RISE_PPT\SUPPLEMENTS\"/>
    </mc:Choice>
  </mc:AlternateContent>
  <xr:revisionPtr revIDLastSave="0" documentId="13_ncr:1_{215196DA-911E-4223-AD2D-C9B083862963}" xr6:coauthVersionLast="47" xr6:coauthVersionMax="47" xr10:uidLastSave="{00000000-0000-0000-0000-000000000000}"/>
  <bookViews>
    <workbookView xWindow="-108" yWindow="-108" windowWidth="23256" windowHeight="12576" tabRatio="947" activeTab="4" xr2:uid="{00000000-000D-0000-FFFF-FFFF00000000}"/>
  </bookViews>
  <sheets>
    <sheet name="POSnSizing" sheetId="24" r:id="rId1"/>
    <sheet name="Buff Strat" sheetId="14" r:id="rId2"/>
    <sheet name="FRAMEWORK_SAPRM" sheetId="32" r:id="rId3"/>
    <sheet name="STRAT" sheetId="17" r:id="rId4"/>
    <sheet name="SETUP_Rules" sheetId="31" r:id="rId5"/>
    <sheet name="MONTH_YYYY" sheetId="13" r:id="rId6"/>
    <sheet name="OPTIONS_LOTSIZE_IND" sheetId="3" r:id="rId7"/>
  </sheets>
  <definedNames>
    <definedName name="_xlnm._FilterDatabase" localSheetId="6" hidden="1">OPTIONS_LOTSIZE_IND!$A$1:$C$144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3" l="1"/>
  <c r="J5" i="13"/>
  <c r="K5" i="13" s="1"/>
  <c r="H20" i="13"/>
  <c r="H5" i="13" l="1"/>
  <c r="C4" i="24" l="1"/>
  <c r="I48" i="24" l="1"/>
  <c r="B49" i="24"/>
  <c r="B53" i="24"/>
  <c r="D48" i="24" s="1"/>
  <c r="C48" i="24"/>
  <c r="E48" i="24" l="1"/>
  <c r="F48" i="24" s="1"/>
  <c r="G48" i="24" s="1"/>
  <c r="H48" i="24" s="1"/>
  <c r="F6" i="24" l="1"/>
  <c r="F5" i="24"/>
  <c r="C38" i="24" l="1"/>
  <c r="B43" i="24"/>
  <c r="D38" i="24" s="1"/>
  <c r="E38" i="24" l="1"/>
  <c r="F38" i="24" s="1"/>
  <c r="G38" i="24" s="1"/>
  <c r="H38" i="24" s="1"/>
  <c r="I38" i="24" l="1"/>
  <c r="D11" i="24" l="1"/>
  <c r="D10" i="24"/>
  <c r="D9" i="24"/>
  <c r="C12" i="24"/>
  <c r="M27" i="24" l="1"/>
  <c r="L27" i="24"/>
  <c r="D32" i="24"/>
  <c r="B32" i="24" s="1"/>
  <c r="D31" i="24"/>
  <c r="B31" i="24" s="1"/>
  <c r="I32" i="24"/>
  <c r="H32" i="24"/>
  <c r="H31" i="24"/>
  <c r="J32" i="24" l="1"/>
  <c r="K32" i="24" s="1"/>
  <c r="B33" i="24"/>
  <c r="L31" i="24"/>
  <c r="J31" i="24"/>
  <c r="K31" i="24" s="1"/>
  <c r="L32" i="24"/>
  <c r="J33" i="24" l="1"/>
  <c r="M33" i="24" s="1"/>
  <c r="L33" i="24"/>
  <c r="N33" i="24" s="1"/>
  <c r="K33" i="24"/>
  <c r="J1" i="24" l="1"/>
  <c r="J2" i="24" s="1"/>
  <c r="J3" i="24" s="1"/>
  <c r="L3" i="24" s="1"/>
  <c r="L15" i="17"/>
  <c r="G6" i="24" l="1"/>
  <c r="G5" i="24"/>
  <c r="G4" i="24"/>
  <c r="D4" i="24"/>
  <c r="F14" i="24"/>
  <c r="G14" i="24" s="1"/>
  <c r="F16" i="24"/>
  <c r="C14" i="24" s="1"/>
  <c r="G16" i="24" l="1"/>
  <c r="F18" i="24"/>
  <c r="F31" i="17" l="1"/>
  <c r="G30" i="17"/>
  <c r="C29" i="17"/>
  <c r="C31" i="17" s="1"/>
  <c r="D29" i="17"/>
  <c r="D31" i="17" s="1"/>
  <c r="E29" i="17"/>
  <c r="E31" i="17" s="1"/>
  <c r="B29" i="17"/>
  <c r="G29" i="17" l="1"/>
  <c r="G31" i="17" s="1"/>
  <c r="B31" i="17"/>
  <c r="D51" i="17" l="1"/>
  <c r="D54" i="17" s="1"/>
  <c r="C51" i="17"/>
  <c r="C54" i="17" s="1"/>
  <c r="E48" i="17"/>
  <c r="C48" i="17"/>
  <c r="Y4" i="3" l="1"/>
  <c r="Y5" i="3"/>
  <c r="Y6" i="3"/>
  <c r="Y7" i="3"/>
  <c r="Y8" i="3"/>
  <c r="Y3" i="3"/>
  <c r="W10" i="3"/>
  <c r="X4" i="3"/>
  <c r="X5" i="3"/>
  <c r="X6" i="3"/>
  <c r="X7" i="3"/>
  <c r="X8" i="3"/>
  <c r="X3" i="3"/>
  <c r="X10" i="3" s="1"/>
  <c r="Y10" i="3" s="1"/>
  <c r="AC11" i="17" l="1"/>
  <c r="G40" i="17" l="1"/>
  <c r="T21" i="17"/>
  <c r="AC15" i="17" l="1"/>
  <c r="AE21" i="17"/>
  <c r="AE23" i="17" s="1"/>
  <c r="AE25" i="17" s="1"/>
  <c r="AA21" i="17"/>
  <c r="AA23" i="17" s="1"/>
  <c r="AA25" i="17" s="1"/>
  <c r="V25" i="17"/>
  <c r="T23" i="17"/>
  <c r="T25" i="17" s="1"/>
  <c r="V23" i="17"/>
  <c r="AC21" i="17" l="1"/>
  <c r="AC23" i="17" s="1"/>
  <c r="AC25" i="17" s="1"/>
  <c r="S21" i="17"/>
  <c r="R9" i="17"/>
  <c r="R21" i="17" s="1"/>
  <c r="Y21" i="17" l="1"/>
  <c r="Y22" i="17" s="1"/>
  <c r="W23" i="17"/>
  <c r="W25" i="17"/>
  <c r="R23" i="17" l="1"/>
  <c r="R25" i="17" l="1"/>
  <c r="Y25" i="17" s="1"/>
  <c r="Y26" i="17" s="1"/>
  <c r="Y23" i="17"/>
  <c r="Y24" i="17" s="1"/>
  <c r="L17" i="17" l="1"/>
  <c r="M19" i="17" s="1"/>
  <c r="G21" i="17"/>
  <c r="G11" i="17"/>
  <c r="G15" i="17" s="1"/>
  <c r="G10" i="17"/>
  <c r="M23" i="17" l="1"/>
  <c r="L23" i="17" s="1"/>
  <c r="L19" i="17"/>
  <c r="J9" i="14"/>
  <c r="I9" i="14"/>
  <c r="Q49" i="3" l="1"/>
  <c r="R49" i="3"/>
  <c r="Q13" i="3" s="1"/>
  <c r="P49" i="3"/>
  <c r="P18" i="3"/>
  <c r="Q18" i="3"/>
  <c r="P19" i="3"/>
  <c r="Q19" i="3"/>
  <c r="P20" i="3"/>
  <c r="Q20" i="3"/>
  <c r="P21" i="3"/>
  <c r="Q21" i="3"/>
  <c r="P22" i="3"/>
  <c r="Q22" i="3"/>
  <c r="P23" i="3"/>
  <c r="Q23" i="3"/>
  <c r="P24" i="3"/>
  <c r="Q24" i="3"/>
  <c r="P25" i="3"/>
  <c r="Q25" i="3"/>
  <c r="P26" i="3"/>
  <c r="Q26" i="3"/>
  <c r="P27" i="3"/>
  <c r="Q27" i="3"/>
  <c r="P28" i="3"/>
  <c r="Q28" i="3"/>
  <c r="P29" i="3"/>
  <c r="Q29" i="3"/>
  <c r="P30" i="3"/>
  <c r="Q30" i="3"/>
  <c r="P31" i="3"/>
  <c r="Q31" i="3"/>
  <c r="P32" i="3"/>
  <c r="Q32" i="3"/>
  <c r="P33" i="3"/>
  <c r="Q33" i="3"/>
  <c r="P34" i="3"/>
  <c r="Q34" i="3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P42" i="3"/>
  <c r="Q42" i="3"/>
  <c r="P43" i="3"/>
  <c r="Q43" i="3"/>
  <c r="P44" i="3"/>
  <c r="Q44" i="3"/>
  <c r="P45" i="3"/>
  <c r="Q45" i="3"/>
  <c r="P46" i="3"/>
  <c r="Q46" i="3"/>
  <c r="P47" i="3"/>
  <c r="Q47" i="3"/>
  <c r="P48" i="3"/>
  <c r="Q48" i="3"/>
  <c r="P17" i="3"/>
  <c r="Q17" i="3"/>
  <c r="Q5" i="3"/>
  <c r="Q6" i="3"/>
  <c r="Q7" i="3"/>
  <c r="Q8" i="3"/>
  <c r="Q9" i="3"/>
  <c r="Q10" i="3"/>
  <c r="Q4" i="3"/>
  <c r="O5" i="3"/>
  <c r="O7" i="3"/>
  <c r="O8" i="3"/>
  <c r="N12" i="3"/>
  <c r="O6" i="3" s="1"/>
  <c r="O4" i="3" l="1"/>
  <c r="O10" i="3"/>
  <c r="O9" i="3"/>
  <c r="Q12" i="3"/>
  <c r="R4" i="3" s="1"/>
  <c r="R6" i="3" l="1"/>
  <c r="R7" i="3"/>
  <c r="R5" i="3"/>
  <c r="R8" i="3"/>
  <c r="R9" i="3"/>
  <c r="R10" i="3"/>
  <c r="R12" i="3" l="1"/>
  <c r="J20" i="13" l="1"/>
  <c r="F57" i="14"/>
  <c r="E57" i="14"/>
  <c r="D57" i="14"/>
  <c r="C57" i="14"/>
  <c r="C58" i="14" s="1"/>
  <c r="F53" i="14"/>
  <c r="E53" i="14"/>
  <c r="D53" i="14"/>
  <c r="C53" i="14"/>
  <c r="E43" i="14"/>
  <c r="P42" i="14"/>
  <c r="L42" i="14"/>
  <c r="M42" i="14" s="1"/>
  <c r="J42" i="14"/>
  <c r="F42" i="14"/>
  <c r="P41" i="14"/>
  <c r="M41" i="14"/>
  <c r="L41" i="14"/>
  <c r="J41" i="14"/>
  <c r="F41" i="14"/>
  <c r="P40" i="14"/>
  <c r="L40" i="14"/>
  <c r="M40" i="14" s="1"/>
  <c r="J40" i="14"/>
  <c r="F40" i="14"/>
  <c r="P39" i="14"/>
  <c r="L39" i="14"/>
  <c r="M39" i="14" s="1"/>
  <c r="J39" i="14"/>
  <c r="F39" i="14"/>
  <c r="P38" i="14"/>
  <c r="L38" i="14"/>
  <c r="M38" i="14" s="1"/>
  <c r="J38" i="14"/>
  <c r="F38" i="14"/>
  <c r="P37" i="14"/>
  <c r="L37" i="14"/>
  <c r="M37" i="14" s="1"/>
  <c r="J37" i="14"/>
  <c r="F37" i="14"/>
  <c r="P36" i="14"/>
  <c r="L36" i="14"/>
  <c r="M36" i="14" s="1"/>
  <c r="J36" i="14"/>
  <c r="F36" i="14"/>
  <c r="I33" i="14"/>
  <c r="J31" i="14"/>
  <c r="I31" i="14"/>
  <c r="J29" i="14"/>
  <c r="I29" i="14"/>
  <c r="J28" i="14"/>
  <c r="I28" i="14"/>
  <c r="I26" i="14"/>
  <c r="J25" i="14"/>
  <c r="I25" i="14"/>
  <c r="J24" i="14"/>
  <c r="I24" i="14"/>
  <c r="J23" i="14"/>
  <c r="I23" i="14"/>
  <c r="J21" i="14"/>
  <c r="I21" i="14"/>
  <c r="J19" i="14"/>
  <c r="I19" i="14"/>
  <c r="J18" i="14"/>
  <c r="I18" i="14"/>
  <c r="J17" i="14"/>
  <c r="I17" i="14"/>
  <c r="J16" i="14"/>
  <c r="I16" i="14"/>
  <c r="J15" i="14"/>
  <c r="I15" i="14"/>
  <c r="J13" i="14"/>
  <c r="I13" i="14"/>
  <c r="I11" i="14"/>
  <c r="I10" i="14"/>
  <c r="C54" i="14" l="1"/>
  <c r="C51" i="14" s="1"/>
  <c r="F43" i="14"/>
  <c r="M43" i="14"/>
  <c r="P43" i="14" s="1"/>
  <c r="Q43" i="14" s="1"/>
  <c r="R43" i="14" s="1"/>
  <c r="J43" i="14"/>
  <c r="I21" i="13" l="1"/>
  <c r="H21" i="13"/>
  <c r="C16" i="24" l="1"/>
  <c r="D16" i="24" s="1"/>
  <c r="C8" i="24" s="1"/>
  <c r="C18" i="24"/>
  <c r="F20" i="24" s="1"/>
  <c r="C20" i="24"/>
  <c r="D20" i="24" l="1"/>
  <c r="C11" i="24"/>
  <c r="C10" i="24"/>
  <c r="C9" i="24"/>
  <c r="D18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Jasvir Singh Nagi</author>
  </authors>
  <commentList>
    <comment ref="M7" authorId="0" shapeId="0" xr:uid="{49D67E57-226F-4D8C-9ADD-C14634A73230}">
      <text>
        <r>
          <rPr>
            <b/>
            <sz val="10"/>
            <color rgb="FF000000"/>
            <rFont val="Tahoma"/>
            <family val="2"/>
          </rPr>
          <t>Jasvir Singh Nagi: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current assett/current liability
</t>
        </r>
        <r>
          <rPr>
            <sz val="10"/>
            <color rgb="FF000000"/>
            <rFont val="Tahoma"/>
            <family val="2"/>
          </rPr>
          <t>= has to be high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Jasvir Singh Nagi</author>
  </authors>
  <commentList>
    <comment ref="M6" authorId="0" shapeId="0" xr:uid="{3CB3927D-3069-417F-9381-B7DBC203EC76}">
      <text>
        <r>
          <rPr>
            <b/>
            <sz val="9"/>
            <color indexed="81"/>
            <rFont val="Tahoma"/>
            <family val="2"/>
          </rPr>
          <t>Jasvir Singh Nagi:</t>
        </r>
        <r>
          <rPr>
            <sz val="9"/>
            <color indexed="81"/>
            <rFont val="Tahoma"/>
            <family val="2"/>
          </rPr>
          <t xml:space="preserve">
1. </t>
        </r>
        <r>
          <rPr>
            <b/>
            <sz val="9"/>
            <color indexed="81"/>
            <rFont val="Tahoma"/>
            <family val="2"/>
          </rPr>
          <t>S</t>
        </r>
        <r>
          <rPr>
            <sz val="9"/>
            <color indexed="81"/>
            <rFont val="Tahoma"/>
            <family val="2"/>
          </rPr>
          <t xml:space="preserve">creening
2. </t>
        </r>
        <r>
          <rPr>
            <b/>
            <sz val="9"/>
            <color indexed="81"/>
            <rFont val="Tahoma"/>
            <family val="2"/>
          </rPr>
          <t>A</t>
        </r>
        <r>
          <rPr>
            <sz val="9"/>
            <color indexed="81"/>
            <rFont val="Tahoma"/>
            <family val="2"/>
          </rPr>
          <t xml:space="preserve">nalysis
3. </t>
        </r>
        <r>
          <rPr>
            <b/>
            <sz val="9"/>
            <color indexed="81"/>
            <rFont val="Tahoma"/>
            <family val="2"/>
          </rPr>
          <t>P</t>
        </r>
        <r>
          <rPr>
            <sz val="9"/>
            <color indexed="81"/>
            <rFont val="Tahoma"/>
            <family val="2"/>
          </rPr>
          <t xml:space="preserve">osition Sizing
4. </t>
        </r>
        <r>
          <rPr>
            <b/>
            <sz val="9"/>
            <color indexed="81"/>
            <rFont val="Tahoma"/>
            <family val="2"/>
          </rPr>
          <t>E</t>
        </r>
        <r>
          <rPr>
            <sz val="9"/>
            <color indexed="81"/>
            <rFont val="Tahoma"/>
            <family val="2"/>
          </rPr>
          <t xml:space="preserve">ntry / Exit
5. </t>
        </r>
        <r>
          <rPr>
            <b/>
            <sz val="9"/>
            <color indexed="81"/>
            <rFont val="Tahoma"/>
            <family val="2"/>
          </rPr>
          <t xml:space="preserve">RR </t>
        </r>
        <r>
          <rPr>
            <sz val="9"/>
            <color indexed="81"/>
            <rFont val="Tahoma"/>
            <family val="2"/>
          </rPr>
          <t xml:space="preserve">Management </t>
        </r>
      </text>
    </comment>
  </commentList>
</comments>
</file>

<file path=xl/sharedStrings.xml><?xml version="1.0" encoding="utf-8"?>
<sst xmlns="http://schemas.openxmlformats.org/spreadsheetml/2006/main" count="1219" uniqueCount="779">
  <si>
    <t>Symbol</t>
  </si>
  <si>
    <t>Quantity</t>
  </si>
  <si>
    <t>Avg Entry Price (Rs.)</t>
  </si>
  <si>
    <t>LTP (Rs.)</t>
  </si>
  <si>
    <t>ASIANPAINT</t>
  </si>
  <si>
    <t>BAJFINANCE</t>
  </si>
  <si>
    <t>BAJAJFINSV</t>
  </si>
  <si>
    <t>BALKRISIND</t>
  </si>
  <si>
    <t>BERGEPAINT</t>
  </si>
  <si>
    <t>BIOCON</t>
  </si>
  <si>
    <t>GAIL</t>
  </si>
  <si>
    <t>GRAPHITE</t>
  </si>
  <si>
    <t>HDFCBANK</t>
  </si>
  <si>
    <t>HEG</t>
  </si>
  <si>
    <t>HINDUNILVR</t>
  </si>
  <si>
    <t>IDFCFIRSTB</t>
  </si>
  <si>
    <t>IDFC</t>
  </si>
  <si>
    <t>INDIANHUME</t>
  </si>
  <si>
    <t>IGL</t>
  </si>
  <si>
    <t>INFY</t>
  </si>
  <si>
    <t>ITC</t>
  </si>
  <si>
    <t>MARICO</t>
  </si>
  <si>
    <t>NOCIL</t>
  </si>
  <si>
    <t>PIDILITIND</t>
  </si>
  <si>
    <t>RELAXO</t>
  </si>
  <si>
    <t>RELIANCE</t>
  </si>
  <si>
    <t>SOBHA</t>
  </si>
  <si>
    <t>TCS</t>
  </si>
  <si>
    <t>VOLTAS</t>
  </si>
  <si>
    <t>PEL</t>
  </si>
  <si>
    <t>SWING</t>
  </si>
  <si>
    <t>PORTFOLIO</t>
  </si>
  <si>
    <t>BRITANNIA</t>
  </si>
  <si>
    <t>Date In</t>
  </si>
  <si>
    <t>Date Out</t>
  </si>
  <si>
    <t>No. o fShares</t>
  </si>
  <si>
    <t>Price in</t>
  </si>
  <si>
    <t>Price out</t>
  </si>
  <si>
    <t>Gain/loss</t>
  </si>
  <si>
    <t>Share co</t>
  </si>
  <si>
    <t>Swing</t>
  </si>
  <si>
    <t>Portfolio</t>
  </si>
  <si>
    <t>Total Inv</t>
  </si>
  <si>
    <t>WK 1-2</t>
  </si>
  <si>
    <t>NMDC</t>
  </si>
  <si>
    <t>HCLTECH</t>
  </si>
  <si>
    <t>VEDL</t>
  </si>
  <si>
    <t>Stock Name</t>
  </si>
  <si>
    <t>Stock Symbol    </t>
  </si>
  <si>
    <t>Lot Size</t>
  </si>
  <si>
    <t>NIFTY BANK                          </t>
  </si>
  <si>
    <t>BANKNIFTY </t>
  </si>
  <si>
    <t>NIFTY 50                            </t>
  </si>
  <si>
    <t>NIFTY     </t>
  </si>
  <si>
    <t>APOLLO HOSPITALS ENTER. L           </t>
  </si>
  <si>
    <t>APOLLOHOSP</t>
  </si>
  <si>
    <t>ACC LIMITED                         </t>
  </si>
  <si>
    <t>ACC       </t>
  </si>
  <si>
    <t>AMARA RAJA BATTERIES LTD.           </t>
  </si>
  <si>
    <t>AMARAJABAT</t>
  </si>
  <si>
    <t>ADANI ENTERPRISES LIMITED           </t>
  </si>
  <si>
    <t>ADANIENT  </t>
  </si>
  <si>
    <t>ADANI PORT &amp; SEZ LTD                </t>
  </si>
  <si>
    <t>ADANIPORTS</t>
  </si>
  <si>
    <t>AMBUJA CEMENTS LTD                  </t>
  </si>
  <si>
    <t>AMBUJACEM </t>
  </si>
  <si>
    <t>APOLLO TYRES LTD                    </t>
  </si>
  <si>
    <t>APOLLOTYRE</t>
  </si>
  <si>
    <t>AUROBINDO PHARMA LTD                </t>
  </si>
  <si>
    <t>AUROPHARMA</t>
  </si>
  <si>
    <t>BAJAJ AUTO LIMITED                  </t>
  </si>
  <si>
    <t>BAJAJ-AUTO</t>
  </si>
  <si>
    <t>BAJAJ FINANCE LIMITED               </t>
  </si>
  <si>
    <t>BANK OF BARODA                      </t>
  </si>
  <si>
    <t>BANKBARODA</t>
  </si>
  <si>
    <t>BATA INDIA LTD                      </t>
  </si>
  <si>
    <t>BATAINDIA </t>
  </si>
  <si>
    <t>BERGER PAINTS (I) LTD               </t>
  </si>
  <si>
    <t>BHARTI AIRTEL LIMITED               </t>
  </si>
  <si>
    <t>BHARTIARTL</t>
  </si>
  <si>
    <t>BOSCH LIMITED                       </t>
  </si>
  <si>
    <t>BOSCHLTD  </t>
  </si>
  <si>
    <t>BHARAT PETROLEUM CORP  LT           </t>
  </si>
  <si>
    <t>BPCL      </t>
  </si>
  <si>
    <t>BRITANNIA INDUSTRIES LTD            </t>
  </si>
  <si>
    <t>BRITANNIA </t>
  </si>
  <si>
    <t>CADILA HEALTHCARE LIMITED           </t>
  </si>
  <si>
    <t>CADILAHC  </t>
  </si>
  <si>
    <t>CHOLAMANDALAM IN &amp; FIN CO           </t>
  </si>
  <si>
    <t>CHOLAFIN  </t>
  </si>
  <si>
    <t>CIPLA LTD                           </t>
  </si>
  <si>
    <t>CIPLA     </t>
  </si>
  <si>
    <t>COAL INDIA LTD                      </t>
  </si>
  <si>
    <t>COALINDIA </t>
  </si>
  <si>
    <t>CONTAINER CORP OF IND LTD           </t>
  </si>
  <si>
    <t>CONCOR    </t>
  </si>
  <si>
    <t>CUMMINS INDIA LTD                   </t>
  </si>
  <si>
    <t>CUMMINSIND</t>
  </si>
  <si>
    <t>DABUR INDIA LTD                     </t>
  </si>
  <si>
    <t>DABUR     </t>
  </si>
  <si>
    <t>DIVI’S LABORATORIES LTD             </t>
  </si>
  <si>
    <t>DIVISLAB  </t>
  </si>
  <si>
    <t>DLF LIMITED                         </t>
  </si>
  <si>
    <t>DLF       </t>
  </si>
  <si>
    <t>DR. REDDY’S LABORATORIES            </t>
  </si>
  <si>
    <t>DRREDDY   </t>
  </si>
  <si>
    <t>EICHER MOTORS LTD                   </t>
  </si>
  <si>
    <t>EICHERMOT </t>
  </si>
  <si>
    <t>ESCORTS INDIA LTD                   </t>
  </si>
  <si>
    <t>ESCORTS   </t>
  </si>
  <si>
    <t>EXIDE INDUSTRIES LTD                </t>
  </si>
  <si>
    <t>EXIDEIND  </t>
  </si>
  <si>
    <t>FEDERAL BANK LTD                    </t>
  </si>
  <si>
    <t>FEDERALBNK</t>
  </si>
  <si>
    <t>GAIL (INDIA) LTD                    </t>
  </si>
  <si>
    <t>GAIL      </t>
  </si>
  <si>
    <t>GODREJ CONSUMER PRODUCTS            </t>
  </si>
  <si>
    <t>GODREJCP  </t>
  </si>
  <si>
    <t>GODREJ PROPERTIES LTD               </t>
  </si>
  <si>
    <t>GODREJPROP</t>
  </si>
  <si>
    <t>HDFC LTD                            </t>
  </si>
  <si>
    <t>HDFC      </t>
  </si>
  <si>
    <t>HERO MOTOCORP LIMITED               </t>
  </si>
  <si>
    <t>HEROMOTOCO</t>
  </si>
  <si>
    <t>HINDUSTAN PETROLEUM CORP            </t>
  </si>
  <si>
    <t>HINDPETRO </t>
  </si>
  <si>
    <t>HINDUSTAN UNILEVER LTD.             </t>
  </si>
  <si>
    <t>ICICI BANK LTD.                     </t>
  </si>
  <si>
    <t>ICICIBANK </t>
  </si>
  <si>
    <t>ICICI PRU LIFE INS CO LTD           </t>
  </si>
  <si>
    <t>ICICIPRULI</t>
  </si>
  <si>
    <t>VODAFONE IDEA LIMITED               </t>
  </si>
  <si>
    <t>IDEA      </t>
  </si>
  <si>
    <t>INDRAPRASTHA GAS LTD                </t>
  </si>
  <si>
    <t>IGL       </t>
  </si>
  <si>
    <t>INTERGLOBE AVIATION LTD             </t>
  </si>
  <si>
    <t>INDIGO    </t>
  </si>
  <si>
    <t>INFOSYS LIMITED                     </t>
  </si>
  <si>
    <t>INFY      </t>
  </si>
  <si>
    <t>INDIAN OIL CORP LTD                 </t>
  </si>
  <si>
    <t>IOC       </t>
  </si>
  <si>
    <t>JSW STEEL LIMITED                   </t>
  </si>
  <si>
    <t>JSWSTEEL  </t>
  </si>
  <si>
    <t>JUBILANT FOODWORKS LTD              </t>
  </si>
  <si>
    <t>JUBLFOOD  </t>
  </si>
  <si>
    <t>KOTAK MAHINDRA BANK LTD             </t>
  </si>
  <si>
    <t>KOTAKBANK </t>
  </si>
  <si>
    <t>LIC HOUSING FINANCE LTD             </t>
  </si>
  <si>
    <t>LICHSGFIN </t>
  </si>
  <si>
    <t>LARSEN &amp; TOUBRO LTD.                </t>
  </si>
  <si>
    <t>LT        </t>
  </si>
  <si>
    <t>LUPIN LIMITED                       </t>
  </si>
  <si>
    <t>LUPIN     </t>
  </si>
  <si>
    <t>MARICO LIMITED                      </t>
  </si>
  <si>
    <t>MARICO    </t>
  </si>
  <si>
    <t>MARUTI SUZUKI INDIA LTD.            </t>
  </si>
  <si>
    <t>MARUTI    </t>
  </si>
  <si>
    <t>MOTHERSON SUMI SYSTEMS LT           </t>
  </si>
  <si>
    <t>MOTHERSUMI</t>
  </si>
  <si>
    <t>MRF LTD                             </t>
  </si>
  <si>
    <t>MRF       </t>
  </si>
  <si>
    <t>INFO EDGE (I) LTD                   </t>
  </si>
  <si>
    <t>NAUKRI    </t>
  </si>
  <si>
    <t>NESTLE INDIA LIMITED                </t>
  </si>
  <si>
    <t>NESTLEIND </t>
  </si>
  <si>
    <t>NMDC LTD.                           </t>
  </si>
  <si>
    <t>NMDC      </t>
  </si>
  <si>
    <t>NTPC LTD                            </t>
  </si>
  <si>
    <t>NTPC      </t>
  </si>
  <si>
    <t>OIL AND NATURAL GAS CORP.           </t>
  </si>
  <si>
    <t>ONGC      </t>
  </si>
  <si>
    <t>PIRAMAL ENTERPRISES LTD             </t>
  </si>
  <si>
    <t>PEL       </t>
  </si>
  <si>
    <t>POWER FIN CORP LTD.                 </t>
  </si>
  <si>
    <t>PFC       </t>
  </si>
  <si>
    <t>PIDILITE INDUSTRIES LTD             </t>
  </si>
  <si>
    <t>POWER GRID CORP. LTD.               </t>
  </si>
  <si>
    <t>POWERGRID </t>
  </si>
  <si>
    <t>THE RAMCO CEMENTS LIMITED           </t>
  </si>
  <si>
    <t>RAMCOCEM  </t>
  </si>
  <si>
    <t>REC LIMITED                         </t>
  </si>
  <si>
    <t>RECLTD    </t>
  </si>
  <si>
    <t>SIEMENS LTD                         </t>
  </si>
  <si>
    <t>SIEMENS   </t>
  </si>
  <si>
    <t>SUN PHARMACEUTICAL IND L            </t>
  </si>
  <si>
    <t>SUNPHARMA </t>
  </si>
  <si>
    <t>TATA CHEMICALS LTD                  </t>
  </si>
  <si>
    <t>TATACHEM  </t>
  </si>
  <si>
    <t>TATA MOTORS LIMITED                 </t>
  </si>
  <si>
    <t>TATAMOTORS</t>
  </si>
  <si>
    <t>TATA STEEL LIMITED                  </t>
  </si>
  <si>
    <t>TATASTEEL </t>
  </si>
  <si>
    <t>TECH MAHINDRA LIMITED               </t>
  </si>
  <si>
    <t>TECHM     </t>
  </si>
  <si>
    <t>TITAN COMPANY LIMITED               </t>
  </si>
  <si>
    <t>TITAN     </t>
  </si>
  <si>
    <t>TORRENT PHARMACEUTICALS L           </t>
  </si>
  <si>
    <t>TORNTPHARM</t>
  </si>
  <si>
    <t>TORRENT POWER LTD                   </t>
  </si>
  <si>
    <t>TORNTPOWER</t>
  </si>
  <si>
    <t>TVS MOTOR COMPANY  LTD              </t>
  </si>
  <si>
    <t>TVSMOTOR  </t>
  </si>
  <si>
    <t>BHEL                                </t>
  </si>
  <si>
    <t>BHEL      </t>
  </si>
  <si>
    <t>UNITED BREWERIES LTD                </t>
  </si>
  <si>
    <t>UBL       </t>
  </si>
  <si>
    <t>ULTRATECH CEMENT LIMITED            </t>
  </si>
  <si>
    <t>ULTRACEMCO</t>
  </si>
  <si>
    <t>VOLTAS LTD                          </t>
  </si>
  <si>
    <t>VOLTAS    </t>
  </si>
  <si>
    <t>WIPRO LTD                           </t>
  </si>
  <si>
    <t>WIPRO     </t>
  </si>
  <si>
    <t>ZEE ENTERTAINMENT ENT LTD           </t>
  </si>
  <si>
    <t>ZEEL      </t>
  </si>
  <si>
    <t>ASHOK LEYLAND LTD                   </t>
  </si>
  <si>
    <t>ASHOKLEY  </t>
  </si>
  <si>
    <t>ASIAN PAINTS LIMITED                </t>
  </si>
  <si>
    <t>AXIS BANK LIMITED                   </t>
  </si>
  <si>
    <t>AXISBANK  </t>
  </si>
  <si>
    <t>BAJAJ FINSERV LTD.                  </t>
  </si>
  <si>
    <t>BANDHAN BANK LIMITED                </t>
  </si>
  <si>
    <t>BANDHANBNK</t>
  </si>
  <si>
    <t>CANARA BANK                         </t>
  </si>
  <si>
    <t>CANBK     </t>
  </si>
  <si>
    <t>COFORGE LIMITED                     </t>
  </si>
  <si>
    <t>COFORGE   </t>
  </si>
  <si>
    <t>HAVELLS INDIA LIMITED               </t>
  </si>
  <si>
    <t>HAVELLS   </t>
  </si>
  <si>
    <t>HCL TECHNOLOGIES LTD                </t>
  </si>
  <si>
    <t>HCLTECH   </t>
  </si>
  <si>
    <t>HDFC BANK LTD                       </t>
  </si>
  <si>
    <t>HDFCBANK  </t>
  </si>
  <si>
    <t>ICICI LOMBARD GIC LIMITED           </t>
  </si>
  <si>
    <t>ICICIGI   </t>
  </si>
  <si>
    <t>IDFC FIRST BANK LIMITED             </t>
  </si>
  <si>
    <t>INDUSIND BANK LIMITED               </t>
  </si>
  <si>
    <t>INDUSINDBK</t>
  </si>
  <si>
    <t>INDUS TOWERS LIMITED                </t>
  </si>
  <si>
    <t>INDUSTOWER</t>
  </si>
  <si>
    <t>ITC LTD                             </t>
  </si>
  <si>
    <t>ITC       </t>
  </si>
  <si>
    <t>L&amp;T FINANCE HOLDINGS LTD            </t>
  </si>
  <si>
    <t>L&amp;TFH     </t>
  </si>
  <si>
    <t>MAHINDRA &amp; MAHINDRA LTD             </t>
  </si>
  <si>
    <t>M&amp;M       </t>
  </si>
  <si>
    <t>M&amp;M FIN. SERVICES LTD               </t>
  </si>
  <si>
    <t>M&amp;MFIN    </t>
  </si>
  <si>
    <t>MANAPPURAM FINANCE LTD              </t>
  </si>
  <si>
    <t>MANAPPURAM</t>
  </si>
  <si>
    <t>PAGE INDUSTRIES LTD                 </t>
  </si>
  <si>
    <t>PAGEIND   </t>
  </si>
  <si>
    <t>PETRONET LNG LIMITED                </t>
  </si>
  <si>
    <t>PETRONET  </t>
  </si>
  <si>
    <t>GMR INFRASTRUCTURE LTD.             </t>
  </si>
  <si>
    <t>GMRINFRA  </t>
  </si>
  <si>
    <t>PUNJAB NATIONAL BANK                </t>
  </si>
  <si>
    <t>PNB       </t>
  </si>
  <si>
    <t>PVR LIMITED                         </t>
  </si>
  <si>
    <t>PVR       </t>
  </si>
  <si>
    <t>RBL BANK LIMITED                    </t>
  </si>
  <si>
    <t>RBLBANK   </t>
  </si>
  <si>
    <t>RELIANCE INDUSTRIES LTD             </t>
  </si>
  <si>
    <t>RELIANCE  </t>
  </si>
  <si>
    <t>STATE BANK OF INDIA                 </t>
  </si>
  <si>
    <t>SBIN      </t>
  </si>
  <si>
    <t>SHRIRAM TRANSPORT FIN CO.           </t>
  </si>
  <si>
    <t>SRTRANSFIN</t>
  </si>
  <si>
    <t>TATA POWER CO LTD                   </t>
  </si>
  <si>
    <t>TATAPOWER </t>
  </si>
  <si>
    <t>TATA CONSULTANCY SERV LT            </t>
  </si>
  <si>
    <t>TCS       </t>
  </si>
  <si>
    <t>BHARAT ELECTRONICS LTD              </t>
  </si>
  <si>
    <t>BEL       </t>
  </si>
  <si>
    <t>MAHANAGAR GAS LTD.                  </t>
  </si>
  <si>
    <t>MGL       </t>
  </si>
  <si>
    <t>BALKRISHNA IND. LTD                 </t>
  </si>
  <si>
    <t>BHARAT FORGE LTD                    </t>
  </si>
  <si>
    <t>BHARATFORG</t>
  </si>
  <si>
    <t>BIOCON LIMITED.                     </t>
  </si>
  <si>
    <t>BIOCON    </t>
  </si>
  <si>
    <t>NATIONAL ALUMINIUM CO LTD           </t>
  </si>
  <si>
    <t>NATIONALUM</t>
  </si>
  <si>
    <t>COLGATE PALMOLIVE LTD.              </t>
  </si>
  <si>
    <t>COLPAL    </t>
  </si>
  <si>
    <t>GLENMARK PHARMACEUTICALS            </t>
  </si>
  <si>
    <t>GLENMARK  </t>
  </si>
  <si>
    <t>GRASIM INDUSTRIES LTD               </t>
  </si>
  <si>
    <t>GRASIM    </t>
  </si>
  <si>
    <t>HDFC LIFE INS CO LTD                </t>
  </si>
  <si>
    <t>HDFCLIFE  </t>
  </si>
  <si>
    <t>HINDALCO  INDUSTRIES  LTD           </t>
  </si>
  <si>
    <t>HINDALCO  </t>
  </si>
  <si>
    <t>STEEL AUTHORITY OF INDIA            </t>
  </si>
  <si>
    <t>SAIL      </t>
  </si>
  <si>
    <t>JINDAL STEEL &amp; POWER LTD            </t>
  </si>
  <si>
    <t>JINDALSTEL</t>
  </si>
  <si>
    <t>UNITED SPIRITS LIMITED              </t>
  </si>
  <si>
    <t>MCDOWELL-N</t>
  </si>
  <si>
    <t>MUTHOOT FINANCE LIMITED             </t>
  </si>
  <si>
    <t>MUTHOOTFIN</t>
  </si>
  <si>
    <t>TATA CONSUMER PRODUCT LTD           </t>
  </si>
  <si>
    <t>TATACONSUM</t>
  </si>
  <si>
    <t>SBI LIFE INSURANCE CO LTD           </t>
  </si>
  <si>
    <t>SBILIFE   </t>
  </si>
  <si>
    <t>SHREE CEMENT LIMITED                </t>
  </si>
  <si>
    <t>SHREECEM  </t>
  </si>
  <si>
    <t>UPL LIMITED                         </t>
  </si>
  <si>
    <t>UPL       </t>
  </si>
  <si>
    <t>MAX FINANCIAL SERV LTD              </t>
  </si>
  <si>
    <t>MFSL      </t>
  </si>
  <si>
    <t>MINDTREE LIMITED                    </t>
  </si>
  <si>
    <t>MINDTREE  </t>
  </si>
  <si>
    <t>INDIABULLS HSG FIN LTD              </t>
  </si>
  <si>
    <t>IBULHSGFIN</t>
  </si>
  <si>
    <t>VEDANTA LIMITED                     </t>
  </si>
  <si>
    <t>VEDL      </t>
  </si>
  <si>
    <t>SUN TV NETWORK LIMITED              </t>
  </si>
  <si>
    <t>SUNTV     </t>
  </si>
  <si>
    <t>SRF LTD                             </t>
  </si>
  <si>
    <t>SRF       </t>
  </si>
  <si>
    <t>AARTI INDUSTRIES LTD                </t>
  </si>
  <si>
    <t>AARTIIND  </t>
  </si>
  <si>
    <t>HDFC AMC LIMITED                    </t>
  </si>
  <si>
    <t>HDFCAMC   </t>
  </si>
  <si>
    <t>DR. LAL PATH LABS LTD.              </t>
  </si>
  <si>
    <t>LALPATHLAB</t>
  </si>
  <si>
    <t>ADANIPOWER</t>
  </si>
  <si>
    <t>ASHOKLEY</t>
  </si>
  <si>
    <t>AXISBANK</t>
  </si>
  <si>
    <t>BHEL</t>
  </si>
  <si>
    <t>BPCL</t>
  </si>
  <si>
    <t>CANFINHOME</t>
  </si>
  <si>
    <t>CANBK</t>
  </si>
  <si>
    <t>CHOLAFIN</t>
  </si>
  <si>
    <t>COFORGE</t>
  </si>
  <si>
    <t>DLF</t>
  </si>
  <si>
    <t>EDELWEISS</t>
  </si>
  <si>
    <t>EQUITAS</t>
  </si>
  <si>
    <t>ESCORTS</t>
  </si>
  <si>
    <t>HINDALCO</t>
  </si>
  <si>
    <t>HINDPETRO</t>
  </si>
  <si>
    <t>HDFC</t>
  </si>
  <si>
    <t>ICICIBANK</t>
  </si>
  <si>
    <t>JSWSTEEL</t>
  </si>
  <si>
    <t>L&amp;TFH</t>
  </si>
  <si>
    <t>LICHSGFIN</t>
  </si>
  <si>
    <t>M&amp;MFIN</t>
  </si>
  <si>
    <t>MFSL</t>
  </si>
  <si>
    <t>PFC</t>
  </si>
  <si>
    <t>RBLBANK</t>
  </si>
  <si>
    <t>RADICO</t>
  </si>
  <si>
    <t>SBIN</t>
  </si>
  <si>
    <t>SAIL</t>
  </si>
  <si>
    <t>TATASTEEL</t>
  </si>
  <si>
    <t>UJJIVAN</t>
  </si>
  <si>
    <t>IDEA</t>
  </si>
  <si>
    <t>LYNCH CRITERIA : &lt;5 Bn growth stocks</t>
  </si>
  <si>
    <t>Lynch thumb rule:</t>
  </si>
  <si>
    <t>PE&lt;Growth rate</t>
  </si>
  <si>
    <t>0.4 ideally - fast grower</t>
  </si>
  <si>
    <t>5 Yr EDBIDTA growth of 20-35% , 10 yr growth &gt; 15%</t>
  </si>
  <si>
    <t>Not for Tech cos</t>
  </si>
  <si>
    <t>Buffet ratio</t>
  </si>
  <si>
    <t>Industry &gt;</t>
  </si>
  <si>
    <t>Org compare &gt; Individual org</t>
  </si>
  <si>
    <t>&gt;&gt;&gt;&gt;</t>
  </si>
  <si>
    <t>EVALUATION Strat</t>
  </si>
  <si>
    <t>1-3</t>
  </si>
  <si>
    <t>&lt;22.5</t>
  </si>
  <si>
    <t xml:space="preserve"> &lt;1</t>
  </si>
  <si>
    <t>15-20%</t>
  </si>
  <si>
    <t>1.5-2</t>
  </si>
  <si>
    <t xml:space="preserve">&lt; 10 </t>
  </si>
  <si>
    <t xml:space="preserve">&gt;=1 </t>
  </si>
  <si>
    <t>PEG</t>
  </si>
  <si>
    <t>Liuidity ratio</t>
  </si>
  <si>
    <t>quick ratio</t>
  </si>
  <si>
    <t>52 wk</t>
  </si>
  <si>
    <t>CMP</t>
  </si>
  <si>
    <t>Industry PE</t>
  </si>
  <si>
    <t>PE</t>
  </si>
  <si>
    <t>EPS</t>
  </si>
  <si>
    <t>P/BV</t>
  </si>
  <si>
    <t>PE*P/bv</t>
  </si>
  <si>
    <t>PE / EPS growth</t>
  </si>
  <si>
    <t>ROCE</t>
  </si>
  <si>
    <t>Debt/Equity</t>
  </si>
  <si>
    <t>Current ratio</t>
  </si>
  <si>
    <t>EV/EBITDA</t>
  </si>
  <si>
    <t>(curr asset-inventory)/curr liab</t>
  </si>
  <si>
    <t>low</t>
  </si>
  <si>
    <t xml:space="preserve">high </t>
  </si>
  <si>
    <t>Div Yield%</t>
  </si>
  <si>
    <t>Graphite</t>
  </si>
  <si>
    <t>IT</t>
  </si>
  <si>
    <t>Infra</t>
  </si>
  <si>
    <t>Mineral</t>
  </si>
  <si>
    <t>Pharma</t>
  </si>
  <si>
    <t>BFS</t>
  </si>
  <si>
    <t>Media</t>
  </si>
  <si>
    <t>EPC</t>
  </si>
  <si>
    <t>BFSI</t>
  </si>
  <si>
    <t>CPG</t>
  </si>
  <si>
    <t>1,64</t>
  </si>
  <si>
    <t>APPROX AMT</t>
  </si>
  <si>
    <t>Shares</t>
  </si>
  <si>
    <t>STRAT :</t>
  </si>
  <si>
    <t>First lot</t>
  </si>
  <si>
    <t>First Lot inv</t>
  </si>
  <si>
    <t>Second Lot</t>
  </si>
  <si>
    <t>Total</t>
  </si>
  <si>
    <t>INR TOTAL INV</t>
  </si>
  <si>
    <t>Target Price</t>
  </si>
  <si>
    <t>Potential growth</t>
  </si>
  <si>
    <t>INR Proft</t>
  </si>
  <si>
    <t>Medium Term</t>
  </si>
  <si>
    <t>Meium Term</t>
  </si>
  <si>
    <t>Long term</t>
  </si>
  <si>
    <t>Long Term</t>
  </si>
  <si>
    <t>PE for 5 years</t>
  </si>
  <si>
    <t>Average growth</t>
  </si>
  <si>
    <t>IV</t>
  </si>
  <si>
    <t>BUY</t>
  </si>
  <si>
    <t>Entry</t>
  </si>
  <si>
    <t>Target</t>
  </si>
  <si>
    <t>Hi Beta Shares</t>
  </si>
  <si>
    <r>
      <rPr>
        <b/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oute Mobile</t>
    </r>
  </si>
  <si>
    <r>
      <rPr>
        <b/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ffle</t>
    </r>
  </si>
  <si>
    <r>
      <rPr>
        <b/>
        <sz val="11"/>
        <color rgb="FFFF0000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anla</t>
    </r>
  </si>
  <si>
    <r>
      <rPr>
        <b/>
        <sz val="11"/>
        <color rgb="FFFF0000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ndiamart</t>
    </r>
  </si>
  <si>
    <r>
      <rPr>
        <b/>
        <sz val="11"/>
        <color rgb="FFFF0000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nMobile</t>
    </r>
  </si>
  <si>
    <r>
      <rPr>
        <b/>
        <sz val="11"/>
        <color rgb="FFFF0000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azara</t>
    </r>
  </si>
  <si>
    <r>
      <rPr>
        <b/>
        <sz val="11"/>
        <color rgb="FFFF0000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aukri</t>
    </r>
  </si>
  <si>
    <t>10 Yr Portfolio</t>
  </si>
  <si>
    <t>Current Portfolio</t>
  </si>
  <si>
    <t>Stock price</t>
  </si>
  <si>
    <t>% per rate</t>
  </si>
  <si>
    <t>New Qty</t>
  </si>
  <si>
    <t>Total Portfolio</t>
  </si>
  <si>
    <t>% allocation</t>
  </si>
  <si>
    <t>AAVAS</t>
  </si>
  <si>
    <t>DEEPAKNTR</t>
  </si>
  <si>
    <t>HDFCLIFE</t>
  </si>
  <si>
    <t>KOTAKBANK</t>
  </si>
  <si>
    <t>MAZDOCK</t>
  </si>
  <si>
    <t>total inv</t>
  </si>
  <si>
    <t>Total o/p</t>
  </si>
  <si>
    <t>Keep green ones</t>
  </si>
  <si>
    <r>
      <t xml:space="preserve">To allocate to </t>
    </r>
    <r>
      <rPr>
        <b/>
        <sz val="11"/>
        <color rgb="FFFF0000"/>
        <rFont val="Calibri"/>
        <family val="2"/>
        <scheme val="minor"/>
      </rPr>
      <t>RATIONN</t>
    </r>
  </si>
  <si>
    <t>https://www1.nseindia.com/live_market/dynaContent/live_analysis/most_active_underlyings.htm</t>
  </si>
  <si>
    <t>Most high active options counter</t>
  </si>
  <si>
    <t>Positional</t>
  </si>
  <si>
    <t>Beta</t>
  </si>
  <si>
    <t>&gt;1</t>
  </si>
  <si>
    <t>( times share grows compared to sensex)</t>
  </si>
  <si>
    <t>CURRENT</t>
  </si>
  <si>
    <t>Target Counters</t>
  </si>
  <si>
    <t>Investment</t>
  </si>
  <si>
    <t>Each Counter</t>
  </si>
  <si>
    <t>Holding Period</t>
  </si>
  <si>
    <t>Expect Rtn /year</t>
  </si>
  <si>
    <t>Compounding Amt</t>
  </si>
  <si>
    <t>FV = PV(1+r)n</t>
  </si>
  <si>
    <t>Curr Est Counters</t>
  </si>
  <si>
    <t>INR</t>
  </si>
  <si>
    <t>yrs</t>
  </si>
  <si>
    <t>Options</t>
  </si>
  <si>
    <t>Return</t>
  </si>
  <si>
    <t>Positonal</t>
  </si>
  <si>
    <t>Mnth</t>
  </si>
  <si>
    <t>Wk</t>
  </si>
  <si>
    <t>Per Year</t>
  </si>
  <si>
    <t>Stocks</t>
  </si>
  <si>
    <t>Postional</t>
  </si>
  <si>
    <t>OPTIONS</t>
  </si>
  <si>
    <t>MF</t>
  </si>
  <si>
    <t>Current Investment</t>
  </si>
  <si>
    <t>TOTAL SIP / month</t>
  </si>
  <si>
    <t>Investment Period</t>
  </si>
  <si>
    <t>July 2031</t>
  </si>
  <si>
    <t>Expect Rtn/Yr</t>
  </si>
  <si>
    <t>Maturity date</t>
  </si>
  <si>
    <t>July 2041</t>
  </si>
  <si>
    <t>Hold Compouding Amt</t>
  </si>
  <si>
    <t>Expense P A</t>
  </si>
  <si>
    <t>AGE</t>
  </si>
  <si>
    <t>Equity</t>
  </si>
  <si>
    <t>Real Estate</t>
  </si>
  <si>
    <t>Business</t>
  </si>
  <si>
    <t>Pm</t>
  </si>
  <si>
    <t>PA</t>
  </si>
  <si>
    <t>TOTAL ALL ASSET</t>
  </si>
  <si>
    <t>After exp mntly</t>
  </si>
  <si>
    <t>After Exp mnthly</t>
  </si>
  <si>
    <t>July 2051</t>
  </si>
  <si>
    <t>large Cap</t>
  </si>
  <si>
    <t>Mid Cap</t>
  </si>
  <si>
    <t>Flexi Cap</t>
  </si>
  <si>
    <t>ESG Fund</t>
  </si>
  <si>
    <t>Value Fund</t>
  </si>
  <si>
    <t>MUTUAL FUNDS</t>
  </si>
  <si>
    <t>High Dividend Stocks</t>
  </si>
  <si>
    <t>ONGC</t>
  </si>
  <si>
    <t>IOC</t>
  </si>
  <si>
    <t>Price</t>
  </si>
  <si>
    <t>Dividend</t>
  </si>
  <si>
    <t>investment</t>
  </si>
  <si>
    <t>Ann Div</t>
  </si>
  <si>
    <t>No. of share</t>
  </si>
  <si>
    <t>STOCK</t>
  </si>
  <si>
    <t>STRAT 2</t>
  </si>
  <si>
    <t>Mf</t>
  </si>
  <si>
    <t>Wealth</t>
  </si>
  <si>
    <t>TRX</t>
  </si>
  <si>
    <t>Per month</t>
  </si>
  <si>
    <t>rtn</t>
  </si>
  <si>
    <t>enforce</t>
  </si>
  <si>
    <t>Add</t>
  </si>
  <si>
    <t>24 oc 21</t>
  </si>
  <si>
    <t>Growth</t>
  </si>
  <si>
    <t>INR Growth</t>
  </si>
  <si>
    <t>Investment each</t>
  </si>
  <si>
    <t>Total investment</t>
  </si>
  <si>
    <t>Curr inv</t>
  </si>
  <si>
    <t>POSITION SIZING CALCULATOR</t>
  </si>
  <si>
    <t>CURRENT ACCOUNT SIZE</t>
  </si>
  <si>
    <t>RISK PER TRADE</t>
  </si>
  <si>
    <t>PROFIT PER SHARE</t>
  </si>
  <si>
    <t>STOP LOSS PER SHARE</t>
  </si>
  <si>
    <t>ENTRY PRICE</t>
  </si>
  <si>
    <t>STOPLOSS</t>
  </si>
  <si>
    <t>TARGET PRICE</t>
  </si>
  <si>
    <t>CURRENCY</t>
  </si>
  <si>
    <t>REWARD/RISK RATIO</t>
  </si>
  <si>
    <t>CAPITAL EMPLOYED</t>
  </si>
  <si>
    <t>RETURN ON ACCOUNT SIZE</t>
  </si>
  <si>
    <t>RETURN ON CAPITAL</t>
  </si>
  <si>
    <t>Enter in White Boxes</t>
  </si>
  <si>
    <t>Blue Boxes calculate the results</t>
  </si>
  <si>
    <t>T&amp;C</t>
  </si>
  <si>
    <t>Take Profit 5-20%</t>
  </si>
  <si>
    <t>Short</t>
  </si>
  <si>
    <t>Med</t>
  </si>
  <si>
    <t>5-10%</t>
  </si>
  <si>
    <t>10-20%</t>
  </si>
  <si>
    <t>SL / EXIT</t>
  </si>
  <si>
    <t>CAP INR</t>
  </si>
  <si>
    <t>Trade 2</t>
  </si>
  <si>
    <t>Remaining CAP</t>
  </si>
  <si>
    <t>Trade 3</t>
  </si>
  <si>
    <t>Trade 1</t>
  </si>
  <si>
    <t>SHARES</t>
  </si>
  <si>
    <t>SHARES CAP</t>
  </si>
  <si>
    <t>RETURN</t>
  </si>
  <si>
    <t>Pyramid Sizing</t>
  </si>
  <si>
    <t>SAPER</t>
  </si>
  <si>
    <t>1D-1W</t>
  </si>
  <si>
    <t>1 M</t>
  </si>
  <si>
    <t>Take Profit 100%</t>
  </si>
  <si>
    <t>OTM</t>
  </si>
  <si>
    <t>ENTER in ITM/ATM</t>
  </si>
  <si>
    <t xml:space="preserve"> Chart</t>
  </si>
  <si>
    <t>Chart</t>
  </si>
  <si>
    <t>OPTIONS - BUY</t>
  </si>
  <si>
    <t>BO |SAPER</t>
  </si>
  <si>
    <t>DATE</t>
  </si>
  <si>
    <t>RISK</t>
  </si>
  <si>
    <t>SL</t>
  </si>
  <si>
    <t>Reward</t>
  </si>
  <si>
    <t>Risk Points</t>
  </si>
  <si>
    <t>Per Week</t>
  </si>
  <si>
    <t>WIN RATE Per wk</t>
  </si>
  <si>
    <r>
      <t xml:space="preserve">SETUP : </t>
    </r>
    <r>
      <rPr>
        <b/>
        <sz val="11"/>
        <color rgb="FFFF0000"/>
        <rFont val="Calibri"/>
        <family val="2"/>
        <scheme val="minor"/>
      </rPr>
      <t>MERA</t>
    </r>
  </si>
  <si>
    <t>Working Days</t>
  </si>
  <si>
    <t>Typical Rates</t>
  </si>
  <si>
    <t>Returns/day</t>
  </si>
  <si>
    <t>Returns/wk</t>
  </si>
  <si>
    <t>with winrate</t>
  </si>
  <si>
    <t>Trade 2:</t>
  </si>
  <si>
    <t>RISK ON CAPITAL</t>
  </si>
  <si>
    <t>ALLOCATION IS FOR LONG TERM PORTFOLIO = 5%</t>
  </si>
  <si>
    <t>[  1  ]</t>
  </si>
  <si>
    <t>[  2  ]</t>
  </si>
  <si>
    <t>[  3  ]</t>
  </si>
  <si>
    <t>FOR Nifty &amp; BANK NIFTy Risk Reward Ratio to be maintained as shown below</t>
  </si>
  <si>
    <t>FOR SHORT TERM TRADES IT IS RISK PER TRADE = 2% max as per calculator with SL =4% max</t>
  </si>
  <si>
    <t>Reward for RR</t>
  </si>
  <si>
    <t>Risk for RR</t>
  </si>
  <si>
    <t>IV CALCULATOR</t>
  </si>
  <si>
    <t>Stock Price</t>
  </si>
  <si>
    <t>Days to Expiry</t>
  </si>
  <si>
    <t>Price Probablity</t>
  </si>
  <si>
    <t>MERA</t>
  </si>
  <si>
    <t>MACD</t>
  </si>
  <si>
    <t>EMA (15,40,85,150)</t>
  </si>
  <si>
    <t>RSI</t>
  </si>
  <si>
    <t>ATR</t>
  </si>
  <si>
    <t>RULE</t>
  </si>
  <si>
    <t>NIFTY | BANK NIFTY</t>
  </si>
  <si>
    <t>NSE SETUP</t>
  </si>
  <si>
    <t>5 Min Chart</t>
  </si>
  <si>
    <t>Crossoer</t>
  </si>
  <si>
    <t xml:space="preserve">MACD </t>
  </si>
  <si>
    <t xml:space="preserve"> : with following rules</t>
  </si>
  <si>
    <t>Above 50</t>
  </si>
  <si>
    <t>In the MACD Direction</t>
  </si>
  <si>
    <t>Or V shaped curve with subsequent candle above previous candle</t>
  </si>
  <si>
    <t>Candle</t>
  </si>
  <si>
    <t>In Direcction of MACD</t>
  </si>
  <si>
    <t>1 ATR</t>
  </si>
  <si>
    <t>2 ATR ( or open in direction of MACD - monitor to close )</t>
  </si>
  <si>
    <t>Trade Closure</t>
  </si>
  <si>
    <t>Same Day</t>
  </si>
  <si>
    <t>MACD above Histogram</t>
  </si>
  <si>
    <t>SELL</t>
  </si>
  <si>
    <t>5th Candle Entry</t>
  </si>
  <si>
    <t>MACD below Histogram</t>
  </si>
  <si>
    <t>Below 40</t>
  </si>
  <si>
    <t>Or V shaped curve with subsequent candle below previous candle</t>
  </si>
  <si>
    <t>Below 15 EMA close</t>
  </si>
  <si>
    <t>Above 15 EMA close</t>
  </si>
  <si>
    <t>STOCK SWING</t>
  </si>
  <si>
    <t>SETUP</t>
  </si>
  <si>
    <t>Multi time frame chart</t>
  </si>
  <si>
    <t>Trade on</t>
  </si>
  <si>
    <t>Above 20 EMA close</t>
  </si>
  <si>
    <t>METHODOLOGY</t>
  </si>
  <si>
    <t>EMA (20, 50, 100, 200)</t>
  </si>
  <si>
    <t>BOLLINGER BAND</t>
  </si>
  <si>
    <t xml:space="preserve">Check </t>
  </si>
  <si>
    <t>Price Action</t>
  </si>
  <si>
    <t>Confirm with following</t>
  </si>
  <si>
    <t>PSAR</t>
  </si>
  <si>
    <t>ADX</t>
  </si>
  <si>
    <t>SETUP 1</t>
  </si>
  <si>
    <t>SETUP 2</t>
  </si>
  <si>
    <t>TSI</t>
  </si>
  <si>
    <t>Trend Direction</t>
  </si>
  <si>
    <t>Entry Confirmation check</t>
  </si>
  <si>
    <t>Entry point and Strength</t>
  </si>
  <si>
    <t>Strength &amp; Direction Confirmation</t>
  </si>
  <si>
    <t>Direction confirmation</t>
  </si>
  <si>
    <t>SRSI &amp; Rsi with SMA</t>
  </si>
  <si>
    <t xml:space="preserve">Trend </t>
  </si>
  <si>
    <t>Range</t>
  </si>
  <si>
    <t>Strength</t>
  </si>
  <si>
    <t>Trend</t>
  </si>
  <si>
    <t>Confirmation</t>
  </si>
  <si>
    <t>Confiration</t>
  </si>
  <si>
    <t>SETUP 3</t>
  </si>
  <si>
    <t>EMA  : 20</t>
  </si>
  <si>
    <t>Trend short term</t>
  </si>
  <si>
    <t>Coppock Curve</t>
  </si>
  <si>
    <t>Direction &amp; Reversal</t>
  </si>
  <si>
    <t>RSI with SMA</t>
  </si>
  <si>
    <t>Strength and Entry</t>
  </si>
  <si>
    <t>1D Chart : Short Term ( 2D to 2Wk) |  Wkly : ( 4W to 6 M )</t>
  </si>
  <si>
    <t>MARBS</t>
  </si>
  <si>
    <t>EATS</t>
  </si>
  <si>
    <t>CREMA</t>
  </si>
  <si>
    <t>FX SWING</t>
  </si>
  <si>
    <t>1D Chart : Short Term ( 2D to 2Wk)</t>
  </si>
  <si>
    <t>Crossover</t>
  </si>
  <si>
    <t>Trade</t>
  </si>
  <si>
    <t>2 ATR</t>
  </si>
  <si>
    <t>Stop Loss</t>
  </si>
  <si>
    <t>Below 20 EMA close</t>
  </si>
  <si>
    <t>FOREX</t>
  </si>
  <si>
    <t xml:space="preserve"> NSE / NASDAQ / NYSE</t>
  </si>
  <si>
    <t>ADDITIONAL</t>
  </si>
  <si>
    <t>All OF Stock Swings</t>
  </si>
  <si>
    <t>RUlLEs</t>
  </si>
  <si>
    <t>All Of Above</t>
  </si>
  <si>
    <t>Check IV</t>
  </si>
  <si>
    <t>Calculate the Price Range as per IV calculator in "Position Sizing"</t>
  </si>
  <si>
    <t>BUY / SELL</t>
  </si>
  <si>
    <t>START WITH BANK NIFTY FOR NOW ONLU - 20 Mar 2022</t>
  </si>
  <si>
    <t>Fischer</t>
  </si>
  <si>
    <t>2'</t>
  </si>
  <si>
    <t>Check Fischer cross on Index Trading View template for entry on 15 min chart</t>
  </si>
  <si>
    <t xml:space="preserve"> Same Day</t>
  </si>
  <si>
    <t>Buy oppiste PE/CE at difference of ATR from Strike price</t>
  </si>
  <si>
    <t>2 ATR for Nifty 3 for BN ( or open in direction of MACD - monitor to close )</t>
  </si>
  <si>
    <t>Exit Trade after 2 cycles and sell conditions met</t>
  </si>
  <si>
    <t>2"</t>
  </si>
  <si>
    <t>As per BUY RULES ABOVE</t>
  </si>
  <si>
    <t>As PER BUY RULES ABOVE</t>
  </si>
  <si>
    <t>Same Day :Check Fischer cross on Index Trading View template for entry on 15 min chart</t>
  </si>
  <si>
    <t>Take CE and PE in the initial 2nd candle if all rules met else after 10:30 am on confirmed signals</t>
  </si>
  <si>
    <t>If trade goes against us, then exit from current targetted PE/CE and continue the  pt 21 with additional lot with 1 ATR SL</t>
  </si>
  <si>
    <t>Fisher</t>
  </si>
  <si>
    <t>1D Chart : Short Term ( 2D to 2Wk) |  Wkly : ( 4W to 6 M ) : TAKE TRADE ON 5 Min chart only</t>
  </si>
  <si>
    <t>ALLOCATION PER TRADE</t>
  </si>
  <si>
    <t>Capital Allocation</t>
  </si>
  <si>
    <t>Lot 1</t>
  </si>
  <si>
    <t>Lot 2</t>
  </si>
  <si>
    <t>Lot 3</t>
  </si>
  <si>
    <t>No. OF SHARES @ C5 Risk</t>
  </si>
  <si>
    <t>No. of Shares @5% allocation</t>
  </si>
  <si>
    <t>Trade 4:</t>
  </si>
  <si>
    <t>Trade 1:</t>
  </si>
  <si>
    <t>Trade 3:</t>
  </si>
  <si>
    <t>SYSTEM - SWING/POSITIONAL</t>
  </si>
  <si>
    <t>Loss Target%</t>
  </si>
  <si>
    <t>Gain Target%</t>
  </si>
  <si>
    <t>Gain Probability%</t>
  </si>
  <si>
    <t>Loss Probability %</t>
  </si>
  <si>
    <t>Per Month</t>
  </si>
  <si>
    <t>Gain /wk</t>
  </si>
  <si>
    <t>Loss/wk</t>
  </si>
  <si>
    <t>ACTIVITY</t>
  </si>
  <si>
    <t>AMT INR</t>
  </si>
  <si>
    <t>Cycle /Mnth</t>
  </si>
  <si>
    <t>MON | THU</t>
  </si>
  <si>
    <t>per month %</t>
  </si>
  <si>
    <t>per wk %</t>
  </si>
  <si>
    <t>per Day %</t>
  </si>
  <si>
    <t>Annual</t>
  </si>
  <si>
    <t>OPTIONS LOT</t>
  </si>
  <si>
    <t>OPT 1 Lot</t>
  </si>
  <si>
    <t>OPT 2 Lot</t>
  </si>
  <si>
    <t>Investment (CURR)</t>
  </si>
  <si>
    <t>Per Day (CURR)</t>
  </si>
  <si>
    <t>Co Name</t>
  </si>
  <si>
    <t>Thme 1</t>
  </si>
  <si>
    <t>Theme 2</t>
  </si>
  <si>
    <t>Theme 3</t>
  </si>
  <si>
    <t>PLATFORM</t>
  </si>
  <si>
    <t>CO 1</t>
  </si>
  <si>
    <t>Co 2</t>
  </si>
  <si>
    <t>MF 1</t>
  </si>
  <si>
    <t>MF2</t>
  </si>
  <si>
    <t>MF 3</t>
  </si>
  <si>
    <t>Co. 1</t>
  </si>
  <si>
    <t>Co. 2</t>
  </si>
  <si>
    <t xml:space="preserve">Co. </t>
  </si>
  <si>
    <t>Co. 3</t>
  </si>
  <si>
    <t>Co</t>
  </si>
  <si>
    <t>USD</t>
  </si>
  <si>
    <t>MFG</t>
  </si>
  <si>
    <t>ABC Co.</t>
  </si>
  <si>
    <t>MF1</t>
  </si>
  <si>
    <t>MF3</t>
  </si>
  <si>
    <t>MF4</t>
  </si>
  <si>
    <t>MF5</t>
  </si>
  <si>
    <t>MF6</t>
  </si>
  <si>
    <t>Mf7</t>
  </si>
  <si>
    <t>Short Term</t>
  </si>
  <si>
    <t>FRAMEWORK STEPS FOR LONG TERM AND MID TERM PORTFOLIO</t>
  </si>
  <si>
    <t>MAPS</t>
  </si>
  <si>
    <t>S</t>
  </si>
  <si>
    <t>A</t>
  </si>
  <si>
    <t>P</t>
  </si>
  <si>
    <t xml:space="preserve">R </t>
  </si>
  <si>
    <t>M</t>
  </si>
  <si>
    <t>Parabolic Sar</t>
  </si>
  <si>
    <t>SCREEN</t>
  </si>
  <si>
    <t>Analyse</t>
  </si>
  <si>
    <t>PRICE</t>
  </si>
  <si>
    <t>RISK REWARD</t>
  </si>
  <si>
    <t>MANAGEMENT</t>
  </si>
  <si>
    <t>Stochastic RSI</t>
  </si>
  <si>
    <t>MID/Long</t>
  </si>
  <si>
    <t>Stock Sourcing</t>
  </si>
  <si>
    <t>Technical</t>
  </si>
  <si>
    <t>RR Ratio</t>
  </si>
  <si>
    <t>Trade Mangement</t>
  </si>
  <si>
    <t>Stock Screening</t>
  </si>
  <si>
    <t>Fundamental</t>
  </si>
  <si>
    <t>Exit</t>
  </si>
  <si>
    <t>SL /  T S/L</t>
  </si>
  <si>
    <t>Invest Management</t>
  </si>
  <si>
    <t>PortFolio</t>
  </si>
  <si>
    <t>Buff Strat'!A1</t>
  </si>
  <si>
    <t>Max 5% of inv  in 1 stock</t>
  </si>
  <si>
    <t>TIMER</t>
  </si>
  <si>
    <t>Moat / Spawn Cos</t>
  </si>
  <si>
    <t>Ichimoku</t>
  </si>
  <si>
    <t>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</si>
</sst>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[$-F800]dddd\,\ mmmm\ dd\,\ yyyy"/>
    <numFmt numFmtId="167" formatCode="[$-409]d\-mmm\-yy;@"/>
    <numFmt numFmtId="168" formatCode="_(* #,##0_);_(* \(#,##0\);_(* &quot;-&quot;??_);_(@_)"/>
    <numFmt numFmtId="169" formatCode="0.000%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 tint="-0.34998626667073579"/>
      <name val="Calibri"/>
      <family val="2"/>
      <scheme val="minor"/>
    </font>
    <font>
      <sz val="8"/>
      <color rgb="FF333333"/>
      <name val="Open Sans"/>
      <family val="2"/>
    </font>
    <font>
      <b/>
      <sz val="8"/>
      <color rgb="FF000000"/>
      <name val="Inherit"/>
    </font>
    <font>
      <b/>
      <sz val="8"/>
      <color rgb="FF333333"/>
      <name val="Inherit"/>
    </font>
    <font>
      <sz val="10"/>
      <color theme="1"/>
      <name val="Inherit"/>
    </font>
    <font>
      <sz val="11"/>
      <color theme="4"/>
      <name val="Calibri"/>
      <family val="2"/>
      <scheme val="minor"/>
    </font>
    <font>
      <sz val="12"/>
      <color theme="1"/>
      <name val="ArialMT"/>
      <family val="2"/>
    </font>
    <font>
      <b/>
      <sz val="12"/>
      <color theme="1"/>
      <name val="ArialMT"/>
    </font>
    <font>
      <sz val="11"/>
      <color theme="1"/>
      <name val="ArialMT"/>
      <family val="2"/>
    </font>
    <font>
      <sz val="10"/>
      <color theme="1"/>
      <name val="ArialMT"/>
      <family val="2"/>
    </font>
    <font>
      <sz val="9"/>
      <color theme="1"/>
      <name val="ArialMT"/>
      <family val="2"/>
    </font>
    <font>
      <sz val="12"/>
      <color rgb="FF00B050"/>
      <name val="ArialMT"/>
      <family val="2"/>
    </font>
    <font>
      <sz val="12"/>
      <color theme="9"/>
      <name val="ArialMT"/>
      <family val="2"/>
    </font>
    <font>
      <sz val="11"/>
      <color rgb="FF00B050"/>
      <name val="ArialMT"/>
      <family val="2"/>
    </font>
    <font>
      <sz val="11"/>
      <color theme="9"/>
      <name val="ArialMT"/>
      <family val="2"/>
    </font>
    <font>
      <sz val="12"/>
      <color rgb="FFFF0000"/>
      <name val="ArialMT"/>
      <family val="2"/>
    </font>
    <font>
      <sz val="12"/>
      <color rgb="FF303030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0"/>
      <color theme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2"/>
      <name val="ArialMT"/>
      <family val="2"/>
    </font>
    <font>
      <sz val="10"/>
      <color rgb="FF202124"/>
      <name val="Arial"/>
      <family val="2"/>
    </font>
    <font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8"/>
      <color rgb="FFFF0000"/>
      <name val="Open Sans"/>
      <family val="2"/>
    </font>
    <font>
      <b/>
      <sz val="9"/>
      <color theme="1"/>
      <name val="Calibri"/>
      <family val="2"/>
      <scheme val="minor"/>
    </font>
    <font>
      <b/>
      <sz val="14"/>
      <color theme="7" tint="0.39997558519241921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sz val="8"/>
      <name val="Calibri"/>
      <family val="2"/>
      <scheme val="minor"/>
    </font>
    <font>
      <sz val="12"/>
      <color theme="5" tint="-0.249977111117893"/>
      <name val="ArialMT"/>
      <family val="2"/>
    </font>
    <font>
      <sz val="10"/>
      <color theme="5" tint="-0.249977111117893"/>
      <name val="ArialMT"/>
      <family val="2"/>
    </font>
    <font>
      <sz val="8"/>
      <color theme="5" tint="-0.249977111117893"/>
      <name val="ArialMT"/>
      <family val="2"/>
    </font>
    <font>
      <sz val="9"/>
      <color theme="5" tint="-0.249977111117893"/>
      <name val="ArialMT"/>
      <family val="2"/>
    </font>
    <font>
      <sz val="11"/>
      <color theme="5" tint="-0.249977111117893"/>
      <name val="ArialMT"/>
      <family val="2"/>
    </font>
    <font>
      <b/>
      <sz val="14"/>
      <color rgb="FFFF000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7F5FE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270">
        <stop position="0">
          <color theme="0"/>
        </stop>
        <stop position="1">
          <color theme="0" tint="-0.25098422193060094"/>
        </stop>
      </gradient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3" applyNumberFormat="0" applyAlignment="0" applyProtection="0"/>
    <xf numFmtId="0" fontId="5" fillId="28" borderId="4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3" applyNumberFormat="0" applyAlignment="0" applyProtection="0"/>
    <xf numFmtId="0" fontId="12" fillId="0" borderId="8" applyNumberFormat="0" applyFill="0" applyAlignment="0" applyProtection="0"/>
    <xf numFmtId="0" fontId="13" fillId="31" borderId="0" applyNumberFormat="0" applyBorder="0" applyAlignment="0" applyProtection="0"/>
    <xf numFmtId="0" fontId="1" fillId="32" borderId="9" applyNumberFormat="0" applyFont="0" applyAlignment="0" applyProtection="0"/>
    <xf numFmtId="0" fontId="14" fillId="27" borderId="10" applyNumberFormat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5" fontId="0" fillId="0" borderId="0" xfId="0" applyNumberFormat="1"/>
    <xf numFmtId="0" fontId="21" fillId="0" borderId="0" xfId="0" applyFont="1"/>
    <xf numFmtId="0" fontId="21" fillId="0" borderId="0" xfId="0" applyFont="1" applyAlignment="1">
      <alignment horizontal="center"/>
    </xf>
    <xf numFmtId="1" fontId="0" fillId="0" borderId="0" xfId="0" applyNumberFormat="1"/>
    <xf numFmtId="15" fontId="21" fillId="0" borderId="0" xfId="0" applyNumberFormat="1" applyFont="1"/>
    <xf numFmtId="166" fontId="0" fillId="0" borderId="0" xfId="0" applyNumberFormat="1"/>
    <xf numFmtId="167" fontId="22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9" fontId="1" fillId="0" borderId="0" xfId="39" applyFont="1"/>
    <xf numFmtId="0" fontId="0" fillId="0" borderId="1" xfId="0" applyBorder="1"/>
    <xf numFmtId="9" fontId="21" fillId="0" borderId="0" xfId="39" applyFont="1"/>
    <xf numFmtId="1" fontId="21" fillId="0" borderId="0" xfId="0" applyNumberFormat="1" applyFont="1"/>
    <xf numFmtId="0" fontId="23" fillId="0" borderId="0" xfId="0" applyFont="1"/>
    <xf numFmtId="0" fontId="26" fillId="0" borderId="0" xfId="0" applyFont="1"/>
    <xf numFmtId="15" fontId="26" fillId="0" borderId="0" xfId="0" applyNumberFormat="1" applyFont="1"/>
    <xf numFmtId="9" fontId="26" fillId="0" borderId="0" xfId="39" applyFont="1"/>
    <xf numFmtId="0" fontId="27" fillId="38" borderId="0" xfId="0" applyFont="1" applyFill="1" applyAlignment="1">
      <alignment horizontal="left" vertical="center" wrapText="1" indent="1"/>
    </xf>
    <xf numFmtId="0" fontId="27" fillId="39" borderId="0" xfId="0" applyFont="1" applyFill="1" applyAlignment="1">
      <alignment horizontal="left" vertical="center" wrapText="1" indent="1"/>
    </xf>
    <xf numFmtId="0" fontId="27" fillId="38" borderId="12" xfId="0" applyFont="1" applyFill="1" applyBorder="1" applyAlignment="1">
      <alignment horizontal="left" vertical="center" wrapText="1" indent="1"/>
    </xf>
    <xf numFmtId="0" fontId="27" fillId="38" borderId="13" xfId="0" applyFont="1" applyFill="1" applyBorder="1" applyAlignment="1">
      <alignment horizontal="left" vertical="center" wrapText="1" indent="1"/>
    </xf>
    <xf numFmtId="0" fontId="27" fillId="39" borderId="12" xfId="0" applyFont="1" applyFill="1" applyBorder="1" applyAlignment="1">
      <alignment horizontal="left" vertical="center" wrapText="1" indent="1"/>
    </xf>
    <xf numFmtId="0" fontId="27" fillId="39" borderId="13" xfId="0" applyFont="1" applyFill="1" applyBorder="1" applyAlignment="1">
      <alignment horizontal="left" vertical="center" wrapText="1" indent="1"/>
    </xf>
    <xf numFmtId="0" fontId="28" fillId="40" borderId="2" xfId="0" applyFont="1" applyFill="1" applyBorder="1" applyAlignment="1">
      <alignment horizontal="left" vertical="center" wrapText="1" indent="1"/>
    </xf>
    <xf numFmtId="0" fontId="29" fillId="40" borderId="2" xfId="0" applyFont="1" applyFill="1" applyBorder="1" applyAlignment="1">
      <alignment horizontal="left" vertical="center" wrapText="1" indent="1"/>
    </xf>
    <xf numFmtId="0" fontId="27" fillId="39" borderId="0" xfId="0" applyFont="1" applyFill="1" applyBorder="1" applyAlignment="1">
      <alignment horizontal="left" vertical="center" wrapText="1" indent="1"/>
    </xf>
    <xf numFmtId="0" fontId="27" fillId="38" borderId="0" xfId="0" applyFont="1" applyFill="1" applyBorder="1" applyAlignment="1">
      <alignment horizontal="left" vertical="center" wrapText="1" indent="1"/>
    </xf>
    <xf numFmtId="0" fontId="31" fillId="0" borderId="0" xfId="0" applyFont="1"/>
    <xf numFmtId="0" fontId="32" fillId="0" borderId="0" xfId="43"/>
    <xf numFmtId="0" fontId="32" fillId="0" borderId="0" xfId="43" applyAlignment="1">
      <alignment horizontal="center" vertical="center"/>
    </xf>
    <xf numFmtId="0" fontId="32" fillId="0" borderId="2" xfId="43" applyBorder="1"/>
    <xf numFmtId="0" fontId="32" fillId="0" borderId="0" xfId="43" applyAlignment="1">
      <alignment horizontal="center"/>
    </xf>
    <xf numFmtId="0" fontId="32" fillId="0" borderId="2" xfId="43" applyBorder="1" applyAlignment="1">
      <alignment horizontal="center"/>
    </xf>
    <xf numFmtId="0" fontId="32" fillId="0" borderId="20" xfId="43" applyBorder="1" applyAlignment="1">
      <alignment horizontal="center"/>
    </xf>
    <xf numFmtId="0" fontId="37" fillId="0" borderId="2" xfId="43" applyFont="1" applyBorder="1"/>
    <xf numFmtId="0" fontId="37" fillId="0" borderId="2" xfId="43" applyFont="1" applyBorder="1" applyAlignment="1">
      <alignment horizontal="center"/>
    </xf>
    <xf numFmtId="2" fontId="37" fillId="0" borderId="2" xfId="43" applyNumberFormat="1" applyFont="1" applyBorder="1" applyAlignment="1">
      <alignment horizontal="center"/>
    </xf>
    <xf numFmtId="0" fontId="38" fillId="0" borderId="2" xfId="43" applyFont="1" applyBorder="1" applyAlignment="1">
      <alignment horizontal="center"/>
    </xf>
    <xf numFmtId="0" fontId="39" fillId="0" borderId="2" xfId="43" applyFont="1" applyBorder="1" applyAlignment="1">
      <alignment horizontal="center"/>
    </xf>
    <xf numFmtId="2" fontId="32" fillId="0" borderId="2" xfId="43" applyNumberFormat="1" applyBorder="1" applyAlignment="1">
      <alignment horizontal="center"/>
    </xf>
    <xf numFmtId="0" fontId="32" fillId="0" borderId="2" xfId="43" applyBorder="1" applyAlignment="1">
      <alignment horizontal="right"/>
    </xf>
    <xf numFmtId="2" fontId="38" fillId="0" borderId="2" xfId="43" applyNumberFormat="1" applyFont="1" applyBorder="1" applyAlignment="1">
      <alignment horizontal="center"/>
    </xf>
    <xf numFmtId="0" fontId="38" fillId="0" borderId="2" xfId="43" applyFont="1" applyBorder="1"/>
    <xf numFmtId="2" fontId="0" fillId="0" borderId="2" xfId="44" applyNumberFormat="1" applyFont="1" applyBorder="1" applyAlignment="1">
      <alignment horizontal="center"/>
    </xf>
    <xf numFmtId="0" fontId="34" fillId="0" borderId="2" xfId="43" applyFont="1" applyBorder="1" applyAlignment="1">
      <alignment horizontal="center"/>
    </xf>
    <xf numFmtId="0" fontId="40" fillId="0" borderId="2" xfId="43" applyFont="1" applyBorder="1" applyAlignment="1">
      <alignment horizontal="center"/>
    </xf>
    <xf numFmtId="0" fontId="41" fillId="0" borderId="2" xfId="43" applyFont="1" applyBorder="1"/>
    <xf numFmtId="1" fontId="32" fillId="0" borderId="2" xfId="43" applyNumberFormat="1" applyBorder="1"/>
    <xf numFmtId="0" fontId="41" fillId="0" borderId="19" xfId="43" applyFont="1" applyBorder="1" applyAlignment="1">
      <alignment horizontal="center"/>
    </xf>
    <xf numFmtId="0" fontId="32" fillId="0" borderId="18" xfId="43" applyBorder="1" applyAlignment="1">
      <alignment horizontal="center"/>
    </xf>
    <xf numFmtId="9" fontId="0" fillId="0" borderId="2" xfId="44" applyFont="1" applyBorder="1"/>
    <xf numFmtId="0" fontId="37" fillId="0" borderId="20" xfId="43" applyFont="1" applyBorder="1"/>
    <xf numFmtId="1" fontId="41" fillId="0" borderId="20" xfId="43" applyNumberFormat="1" applyFont="1" applyBorder="1" applyAlignment="1">
      <alignment horizontal="right"/>
    </xf>
    <xf numFmtId="0" fontId="32" fillId="0" borderId="20" xfId="43" applyBorder="1"/>
    <xf numFmtId="1" fontId="32" fillId="0" borderId="20" xfId="43" applyNumberFormat="1" applyBorder="1"/>
    <xf numFmtId="0" fontId="41" fillId="0" borderId="23" xfId="43" applyFont="1" applyBorder="1" applyAlignment="1">
      <alignment horizontal="center"/>
    </xf>
    <xf numFmtId="0" fontId="32" fillId="0" borderId="21" xfId="43" applyBorder="1" applyAlignment="1">
      <alignment horizontal="center"/>
    </xf>
    <xf numFmtId="2" fontId="41" fillId="0" borderId="2" xfId="43" applyNumberFormat="1" applyFont="1" applyBorder="1" applyAlignment="1">
      <alignment horizontal="right"/>
    </xf>
    <xf numFmtId="0" fontId="41" fillId="0" borderId="2" xfId="43" applyFont="1" applyBorder="1" applyAlignment="1">
      <alignment horizontal="center"/>
    </xf>
    <xf numFmtId="0" fontId="32" fillId="0" borderId="17" xfId="43" applyBorder="1"/>
    <xf numFmtId="1" fontId="32" fillId="0" borderId="17" xfId="43" applyNumberFormat="1" applyBorder="1"/>
    <xf numFmtId="0" fontId="32" fillId="0" borderId="17" xfId="43" applyBorder="1" applyAlignment="1">
      <alignment horizontal="center"/>
    </xf>
    <xf numFmtId="1" fontId="0" fillId="0" borderId="17" xfId="44" applyNumberFormat="1" applyFont="1" applyBorder="1"/>
    <xf numFmtId="9" fontId="0" fillId="0" borderId="0" xfId="44" applyFont="1"/>
    <xf numFmtId="0" fontId="17" fillId="0" borderId="0" xfId="0" applyFont="1"/>
    <xf numFmtId="0" fontId="16" fillId="0" borderId="0" xfId="0" applyFont="1"/>
    <xf numFmtId="0" fontId="16" fillId="0" borderId="2" xfId="0" applyFont="1" applyBorder="1"/>
    <xf numFmtId="9" fontId="0" fillId="0" borderId="2" xfId="0" applyNumberFormat="1" applyBorder="1"/>
    <xf numFmtId="0" fontId="0" fillId="0" borderId="0" xfId="0" applyBorder="1"/>
    <xf numFmtId="0" fontId="16" fillId="0" borderId="0" xfId="0" applyFont="1" applyBorder="1"/>
    <xf numFmtId="0" fontId="30" fillId="41" borderId="2" xfId="0" applyFont="1" applyFill="1" applyBorder="1" applyAlignment="1">
      <alignment horizontal="left" vertical="center" wrapText="1" indent="1"/>
    </xf>
    <xf numFmtId="0" fontId="30" fillId="42" borderId="2" xfId="0" applyFont="1" applyFill="1" applyBorder="1" applyAlignment="1">
      <alignment horizontal="left" vertical="center" wrapText="1" indent="1"/>
    </xf>
    <xf numFmtId="0" fontId="19" fillId="0" borderId="2" xfId="0" applyFont="1" applyBorder="1" applyAlignment="1">
      <alignment wrapText="1"/>
    </xf>
    <xf numFmtId="9" fontId="0" fillId="0" borderId="0" xfId="39" applyFont="1"/>
    <xf numFmtId="0" fontId="0" fillId="44" borderId="19" xfId="0" applyFill="1" applyBorder="1"/>
    <xf numFmtId="0" fontId="16" fillId="44" borderId="19" xfId="0" applyFont="1" applyFill="1" applyBorder="1"/>
    <xf numFmtId="10" fontId="0" fillId="0" borderId="2" xfId="39" applyNumberFormat="1" applyFont="1" applyBorder="1"/>
    <xf numFmtId="9" fontId="0" fillId="0" borderId="2" xfId="39" applyFont="1" applyBorder="1"/>
    <xf numFmtId="1" fontId="0" fillId="0" borderId="2" xfId="0" applyNumberFormat="1" applyBorder="1"/>
    <xf numFmtId="0" fontId="0" fillId="45" borderId="2" xfId="0" applyFill="1" applyBorder="1"/>
    <xf numFmtId="15" fontId="0" fillId="45" borderId="2" xfId="0" applyNumberFormat="1" applyFill="1" applyBorder="1"/>
    <xf numFmtId="0" fontId="0" fillId="46" borderId="17" xfId="0" applyFill="1" applyBorder="1"/>
    <xf numFmtId="0" fontId="0" fillId="46" borderId="2" xfId="0" applyFill="1" applyBorder="1"/>
    <xf numFmtId="0" fontId="18" fillId="0" borderId="2" xfId="0" applyFont="1" applyBorder="1" applyAlignment="1">
      <alignment horizontal="center" vertical="center" wrapText="1"/>
    </xf>
    <xf numFmtId="0" fontId="47" fillId="0" borderId="2" xfId="0" applyFont="1" applyBorder="1" applyAlignment="1">
      <alignment wrapText="1"/>
    </xf>
    <xf numFmtId="4" fontId="47" fillId="0" borderId="2" xfId="0" applyNumberFormat="1" applyFont="1" applyBorder="1" applyAlignment="1">
      <alignment wrapText="1"/>
    </xf>
    <xf numFmtId="0" fontId="20" fillId="0" borderId="2" xfId="0" applyFont="1" applyBorder="1"/>
    <xf numFmtId="4" fontId="19" fillId="0" borderId="2" xfId="0" applyNumberFormat="1" applyFont="1" applyBorder="1" applyAlignment="1">
      <alignment wrapText="1"/>
    </xf>
    <xf numFmtId="0" fontId="0" fillId="34" borderId="1" xfId="0" applyFill="1" applyBorder="1"/>
    <xf numFmtId="0" fontId="48" fillId="33" borderId="2" xfId="0" applyFont="1" applyFill="1" applyBorder="1"/>
    <xf numFmtId="0" fontId="49" fillId="0" borderId="0" xfId="0" applyFont="1"/>
    <xf numFmtId="0" fontId="51" fillId="43" borderId="2" xfId="45" applyFont="1" applyFill="1" applyBorder="1"/>
    <xf numFmtId="9" fontId="32" fillId="0" borderId="2" xfId="43" applyNumberFormat="1" applyBorder="1" applyAlignment="1">
      <alignment horizontal="center"/>
    </xf>
    <xf numFmtId="2" fontId="52" fillId="0" borderId="2" xfId="43" applyNumberFormat="1" applyFont="1" applyBorder="1" applyAlignment="1">
      <alignment horizontal="center"/>
    </xf>
    <xf numFmtId="15" fontId="32" fillId="0" borderId="0" xfId="43" applyNumberFormat="1"/>
    <xf numFmtId="0" fontId="0" fillId="0" borderId="2" xfId="0" quotePrefix="1" applyBorder="1" applyAlignment="1">
      <alignment horizontal="center"/>
    </xf>
    <xf numFmtId="0" fontId="0" fillId="0" borderId="0" xfId="0" applyFont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3" fillId="0" borderId="0" xfId="0" applyFont="1"/>
    <xf numFmtId="15" fontId="45" fillId="35" borderId="2" xfId="0" applyNumberFormat="1" applyFont="1" applyFill="1" applyBorder="1" applyAlignment="1">
      <alignment horizontal="center"/>
    </xf>
    <xf numFmtId="0" fontId="45" fillId="35" borderId="2" xfId="0" applyFont="1" applyFill="1" applyBorder="1"/>
    <xf numFmtId="0" fontId="16" fillId="37" borderId="17" xfId="0" applyFont="1" applyFill="1" applyBorder="1"/>
    <xf numFmtId="0" fontId="16" fillId="37" borderId="2" xfId="0" applyFont="1" applyFill="1" applyBorder="1"/>
    <xf numFmtId="0" fontId="16" fillId="36" borderId="2" xfId="0" applyFont="1" applyFill="1" applyBorder="1"/>
    <xf numFmtId="164" fontId="0" fillId="0" borderId="2" xfId="39" applyNumberFormat="1" applyFont="1" applyBorder="1"/>
    <xf numFmtId="0" fontId="16" fillId="0" borderId="0" xfId="0" applyFont="1" applyAlignment="1">
      <alignment horizontal="right"/>
    </xf>
    <xf numFmtId="0" fontId="16" fillId="36" borderId="2" xfId="0" applyFont="1" applyFill="1" applyBorder="1" applyAlignment="1">
      <alignment horizontal="center"/>
    </xf>
    <xf numFmtId="0" fontId="16" fillId="37" borderId="2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54" fillId="47" borderId="2" xfId="0" applyFont="1" applyFill="1" applyBorder="1"/>
    <xf numFmtId="0" fontId="55" fillId="36" borderId="2" xfId="0" applyFont="1" applyFill="1" applyBorder="1"/>
    <xf numFmtId="0" fontId="31" fillId="47" borderId="2" xfId="0" applyFont="1" applyFill="1" applyBorder="1"/>
    <xf numFmtId="0" fontId="46" fillId="36" borderId="2" xfId="0" applyFont="1" applyFill="1" applyBorder="1"/>
    <xf numFmtId="0" fontId="0" fillId="0" borderId="0" xfId="0" applyFill="1" applyBorder="1"/>
    <xf numFmtId="0" fontId="0" fillId="0" borderId="2" xfId="0" applyFont="1" applyBorder="1"/>
    <xf numFmtId="0" fontId="27" fillId="38" borderId="14" xfId="0" applyFont="1" applyFill="1" applyBorder="1" applyAlignment="1">
      <alignment horizontal="left" vertical="center" wrapText="1" indent="1"/>
    </xf>
    <xf numFmtId="0" fontId="27" fillId="38" borderId="15" xfId="0" applyFont="1" applyFill="1" applyBorder="1" applyAlignment="1">
      <alignment horizontal="left" vertical="center" wrapText="1" indent="1"/>
    </xf>
    <xf numFmtId="0" fontId="27" fillId="38" borderId="16" xfId="0" applyFont="1" applyFill="1" applyBorder="1" applyAlignment="1">
      <alignment horizontal="left" vertical="center" wrapText="1" indent="1"/>
    </xf>
    <xf numFmtId="0" fontId="57" fillId="38" borderId="13" xfId="0" applyFont="1" applyFill="1" applyBorder="1" applyAlignment="1">
      <alignment horizontal="left" vertical="center" wrapText="1" indent="1"/>
    </xf>
    <xf numFmtId="0" fontId="57" fillId="39" borderId="13" xfId="0" applyFont="1" applyFill="1" applyBorder="1" applyAlignment="1">
      <alignment horizontal="left" vertical="center" wrapText="1" indent="1"/>
    </xf>
    <xf numFmtId="10" fontId="0" fillId="0" borderId="0" xfId="39" applyNumberFormat="1" applyFont="1"/>
    <xf numFmtId="0" fontId="26" fillId="0" borderId="2" xfId="0" applyFont="1" applyBorder="1"/>
    <xf numFmtId="17" fontId="0" fillId="0" borderId="0" xfId="0" quotePrefix="1" applyNumberFormat="1"/>
    <xf numFmtId="0" fontId="0" fillId="0" borderId="2" xfId="0" quotePrefix="1" applyBorder="1"/>
    <xf numFmtId="1" fontId="0" fillId="0" borderId="2" xfId="0" quotePrefix="1" applyNumberFormat="1" applyBorder="1"/>
    <xf numFmtId="168" fontId="0" fillId="0" borderId="2" xfId="46" applyNumberFormat="1" applyFont="1" applyBorder="1"/>
    <xf numFmtId="0" fontId="16" fillId="35" borderId="17" xfId="0" applyFont="1" applyFill="1" applyBorder="1"/>
    <xf numFmtId="0" fontId="0" fillId="35" borderId="2" xfId="0" applyFill="1" applyBorder="1"/>
    <xf numFmtId="1" fontId="0" fillId="0" borderId="0" xfId="0" quotePrefix="1" applyNumberFormat="1" applyAlignment="1">
      <alignment horizontal="center"/>
    </xf>
    <xf numFmtId="0" fontId="17" fillId="33" borderId="2" xfId="0" applyFont="1" applyFill="1" applyBorder="1"/>
    <xf numFmtId="0" fontId="0" fillId="48" borderId="2" xfId="0" applyFill="1" applyBorder="1"/>
    <xf numFmtId="9" fontId="0" fillId="48" borderId="2" xfId="0" applyNumberFormat="1" applyFill="1" applyBorder="1"/>
    <xf numFmtId="9" fontId="0" fillId="48" borderId="2" xfId="39" applyFont="1" applyFill="1" applyBorder="1"/>
    <xf numFmtId="0" fontId="58" fillId="37" borderId="2" xfId="0" applyFont="1" applyFill="1" applyBorder="1"/>
    <xf numFmtId="0" fontId="22" fillId="0" borderId="0" xfId="0" applyFont="1"/>
    <xf numFmtId="0" fontId="16" fillId="48" borderId="2" xfId="0" applyFont="1" applyFill="1" applyBorder="1" applyAlignment="1">
      <alignment horizontal="center"/>
    </xf>
    <xf numFmtId="0" fontId="0" fillId="33" borderId="0" xfId="0" applyFill="1"/>
    <xf numFmtId="0" fontId="0" fillId="43" borderId="0" xfId="0" applyFill="1"/>
    <xf numFmtId="0" fontId="0" fillId="49" borderId="0" xfId="0" applyFill="1"/>
    <xf numFmtId="0" fontId="0" fillId="49" borderId="0" xfId="0" applyFill="1" applyAlignment="1">
      <alignment horizontal="center"/>
    </xf>
    <xf numFmtId="0" fontId="0" fillId="50" borderId="0" xfId="0" applyFill="1"/>
    <xf numFmtId="1" fontId="45" fillId="33" borderId="2" xfId="0" applyNumberFormat="1" applyFont="1" applyFill="1" applyBorder="1"/>
    <xf numFmtId="44" fontId="0" fillId="0" borderId="0" xfId="47" applyFont="1"/>
    <xf numFmtId="0" fontId="16" fillId="0" borderId="1" xfId="0" applyFont="1" applyBorder="1"/>
    <xf numFmtId="10" fontId="0" fillId="0" borderId="2" xfId="0" applyNumberFormat="1" applyBorder="1"/>
    <xf numFmtId="0" fontId="0" fillId="46" borderId="25" xfId="0" applyFill="1" applyBorder="1"/>
    <xf numFmtId="9" fontId="16" fillId="0" borderId="2" xfId="39" applyFont="1" applyBorder="1"/>
    <xf numFmtId="0" fontId="16" fillId="45" borderId="2" xfId="0" applyFont="1" applyFill="1" applyBorder="1"/>
    <xf numFmtId="0" fontId="0" fillId="0" borderId="2" xfId="0" applyBorder="1" applyAlignment="1">
      <alignment horizontal="center"/>
    </xf>
    <xf numFmtId="169" fontId="0" fillId="0" borderId="2" xfId="0" applyNumberForma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9" fontId="0" fillId="0" borderId="0" xfId="0" applyNumberForma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6" fillId="0" borderId="29" xfId="0" applyFont="1" applyBorder="1"/>
    <xf numFmtId="0" fontId="45" fillId="0" borderId="2" xfId="0" applyFont="1" applyBorder="1"/>
    <xf numFmtId="1" fontId="0" fillId="0" borderId="0" xfId="0" applyNumberFormat="1" applyBorder="1"/>
    <xf numFmtId="15" fontId="31" fillId="0" borderId="2" xfId="0" applyNumberFormat="1" applyFont="1" applyBorder="1"/>
    <xf numFmtId="0" fontId="3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45" borderId="2" xfId="0" applyFill="1" applyBorder="1" applyAlignment="1">
      <alignment horizontal="center"/>
    </xf>
    <xf numFmtId="0" fontId="16" fillId="52" borderId="2" xfId="0" applyFont="1" applyFill="1" applyBorder="1"/>
    <xf numFmtId="1" fontId="5" fillId="51" borderId="2" xfId="0" applyNumberFormat="1" applyFont="1" applyFill="1" applyBorder="1"/>
    <xf numFmtId="1" fontId="5" fillId="51" borderId="2" xfId="39" applyNumberFormat="1" applyFont="1" applyFill="1" applyBorder="1"/>
    <xf numFmtId="164" fontId="5" fillId="51" borderId="2" xfId="39" applyNumberFormat="1" applyFont="1" applyFill="1" applyBorder="1"/>
    <xf numFmtId="165" fontId="5" fillId="51" borderId="2" xfId="0" applyNumberFormat="1" applyFont="1" applyFill="1" applyBorder="1"/>
    <xf numFmtId="0" fontId="26" fillId="0" borderId="2" xfId="0" applyFont="1" applyBorder="1" applyAlignment="1">
      <alignment horizontal="right"/>
    </xf>
    <xf numFmtId="164" fontId="16" fillId="0" borderId="2" xfId="0" applyNumberFormat="1" applyFont="1" applyBorder="1"/>
    <xf numFmtId="0" fontId="0" fillId="54" borderId="2" xfId="0" applyFill="1" applyBorder="1"/>
    <xf numFmtId="0" fontId="49" fillId="0" borderId="0" xfId="0" applyFont="1" applyAlignment="1">
      <alignment horizontal="right"/>
    </xf>
    <xf numFmtId="0" fontId="0" fillId="45" borderId="2" xfId="0" applyFill="1" applyBorder="1" applyAlignment="1">
      <alignment horizontal="right"/>
    </xf>
    <xf numFmtId="9" fontId="0" fillId="0" borderId="2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0" fillId="45" borderId="2" xfId="0" applyFill="1" applyBorder="1" applyAlignment="1">
      <alignment horizontal="center"/>
    </xf>
    <xf numFmtId="0" fontId="0" fillId="0" borderId="0" xfId="0" applyAlignment="1">
      <alignment horizontal="right"/>
    </xf>
    <xf numFmtId="0" fontId="16" fillId="45" borderId="2" xfId="0" applyFont="1" applyFill="1" applyBorder="1" applyAlignment="1">
      <alignment horizontal="center"/>
    </xf>
    <xf numFmtId="9" fontId="21" fillId="0" borderId="0" xfId="39" applyFont="1" applyAlignment="1">
      <alignment horizontal="left"/>
    </xf>
    <xf numFmtId="9" fontId="0" fillId="54" borderId="2" xfId="0" applyNumberFormat="1" applyFill="1" applyBorder="1"/>
    <xf numFmtId="0" fontId="31" fillId="0" borderId="2" xfId="0" applyFont="1" applyFill="1" applyBorder="1"/>
    <xf numFmtId="0" fontId="16" fillId="0" borderId="0" xfId="0" applyFont="1" applyFill="1" applyBorder="1"/>
    <xf numFmtId="0" fontId="0" fillId="0" borderId="2" xfId="0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58" fillId="48" borderId="2" xfId="0" applyFont="1" applyFill="1" applyBorder="1" applyAlignment="1">
      <alignment horizontal="center"/>
    </xf>
    <xf numFmtId="9" fontId="0" fillId="0" borderId="1" xfId="39" applyFont="1" applyBorder="1" applyAlignment="1">
      <alignment horizontal="center"/>
    </xf>
    <xf numFmtId="0" fontId="22" fillId="0" borderId="2" xfId="0" applyFont="1" applyBorder="1"/>
    <xf numFmtId="0" fontId="5" fillId="51" borderId="0" xfId="0" applyFont="1" applyFill="1" applyBorder="1"/>
    <xf numFmtId="0" fontId="0" fillId="45" borderId="0" xfId="0" applyFill="1" applyBorder="1"/>
    <xf numFmtId="0" fontId="46" fillId="45" borderId="0" xfId="0" applyFont="1" applyFill="1" applyBorder="1"/>
    <xf numFmtId="9" fontId="31" fillId="0" borderId="2" xfId="39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/>
    </xf>
    <xf numFmtId="1" fontId="0" fillId="0" borderId="2" xfId="39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16" fillId="0" borderId="2" xfId="0" applyNumberFormat="1" applyFont="1" applyBorder="1" applyAlignment="1">
      <alignment horizontal="center"/>
    </xf>
    <xf numFmtId="0" fontId="60" fillId="45" borderId="0" xfId="0" applyFont="1" applyFill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46" fillId="0" borderId="0" xfId="0" applyFont="1" applyAlignment="1">
      <alignment horizontal="center"/>
    </xf>
    <xf numFmtId="0" fontId="16" fillId="0" borderId="2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46" fillId="47" borderId="2" xfId="0" applyFont="1" applyFill="1" applyBorder="1"/>
    <xf numFmtId="0" fontId="46" fillId="47" borderId="2" xfId="0" applyFont="1" applyFill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46" fillId="48" borderId="2" xfId="0" applyFont="1" applyFill="1" applyBorder="1" applyAlignment="1">
      <alignment horizontal="center"/>
    </xf>
    <xf numFmtId="0" fontId="61" fillId="0" borderId="0" xfId="0" applyFont="1"/>
    <xf numFmtId="0" fontId="62" fillId="45" borderId="0" xfId="0" applyFont="1" applyFill="1"/>
    <xf numFmtId="0" fontId="63" fillId="0" borderId="0" xfId="0" applyFont="1"/>
    <xf numFmtId="0" fontId="62" fillId="45" borderId="0" xfId="0" applyFont="1" applyFill="1" applyAlignment="1">
      <alignment horizontal="center"/>
    </xf>
    <xf numFmtId="0" fontId="64" fillId="0" borderId="0" xfId="0" applyFont="1" applyAlignment="1">
      <alignment horizontal="center"/>
    </xf>
    <xf numFmtId="0" fontId="61" fillId="0" borderId="2" xfId="0" applyFont="1" applyBorder="1"/>
    <xf numFmtId="0" fontId="46" fillId="0" borderId="2" xfId="0" applyFont="1" applyBorder="1" applyAlignment="1">
      <alignment horizontal="left"/>
    </xf>
    <xf numFmtId="0" fontId="65" fillId="0" borderId="2" xfId="0" applyFont="1" applyBorder="1" applyAlignment="1">
      <alignment horizontal="center"/>
    </xf>
    <xf numFmtId="0" fontId="66" fillId="0" borderId="2" xfId="0" applyFont="1" applyBorder="1"/>
    <xf numFmtId="1" fontId="16" fillId="0" borderId="2" xfId="0" applyNumberFormat="1" applyFont="1" applyBorder="1"/>
    <xf numFmtId="9" fontId="26" fillId="0" borderId="0" xfId="39" applyFont="1" applyAlignment="1">
      <alignment horizontal="left"/>
    </xf>
    <xf numFmtId="164" fontId="16" fillId="0" borderId="0" xfId="0" applyNumberFormat="1" applyFont="1" applyFill="1" applyBorder="1"/>
    <xf numFmtId="0" fontId="21" fillId="0" borderId="0" xfId="0" applyFont="1" applyFill="1"/>
    <xf numFmtId="1" fontId="46" fillId="0" borderId="2" xfId="0" applyNumberFormat="1" applyFont="1" applyBorder="1" applyAlignment="1">
      <alignment horizontal="right"/>
    </xf>
    <xf numFmtId="0" fontId="46" fillId="0" borderId="2" xfId="0" applyFont="1" applyBorder="1" applyAlignment="1">
      <alignment horizontal="right"/>
    </xf>
    <xf numFmtId="0" fontId="16" fillId="55" borderId="2" xfId="0" applyFont="1" applyFill="1" applyBorder="1"/>
    <xf numFmtId="0" fontId="16" fillId="55" borderId="2" xfId="0" applyFont="1" applyFill="1" applyBorder="1" applyAlignment="1">
      <alignment horizontal="right"/>
    </xf>
    <xf numFmtId="1" fontId="46" fillId="0" borderId="2" xfId="0" applyNumberFormat="1" applyFont="1" applyBorder="1" applyAlignment="1">
      <alignment horizontal="left"/>
    </xf>
    <xf numFmtId="9" fontId="21" fillId="0" borderId="0" xfId="0" applyNumberFormat="1" applyFont="1" applyFill="1" applyAlignment="1">
      <alignment horizontal="left"/>
    </xf>
    <xf numFmtId="1" fontId="0" fillId="0" borderId="0" xfId="39" applyNumberFormat="1" applyFont="1"/>
    <xf numFmtId="0" fontId="21" fillId="0" borderId="0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9" fontId="0" fillId="0" borderId="2" xfId="39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7" fillId="0" borderId="2" xfId="0" applyFont="1" applyBorder="1"/>
    <xf numFmtId="1" fontId="67" fillId="48" borderId="2" xfId="0" applyNumberFormat="1" applyFont="1" applyFill="1" applyBorder="1"/>
    <xf numFmtId="2" fontId="32" fillId="0" borderId="37" xfId="43" applyNumberFormat="1" applyBorder="1"/>
    <xf numFmtId="0" fontId="32" fillId="0" borderId="37" xfId="43" applyBorder="1"/>
    <xf numFmtId="0" fontId="32" fillId="0" borderId="21" xfId="43" applyBorder="1"/>
    <xf numFmtId="0" fontId="42" fillId="0" borderId="0" xfId="43" applyFont="1" applyBorder="1"/>
    <xf numFmtId="0" fontId="42" fillId="0" borderId="22" xfId="43" applyFont="1" applyBorder="1"/>
    <xf numFmtId="0" fontId="32" fillId="0" borderId="25" xfId="43" applyBorder="1"/>
    <xf numFmtId="9" fontId="32" fillId="0" borderId="0" xfId="43" applyNumberFormat="1" applyBorder="1"/>
    <xf numFmtId="0" fontId="32" fillId="0" borderId="0" xfId="43" applyBorder="1"/>
    <xf numFmtId="0" fontId="32" fillId="0" borderId="22" xfId="43" applyBorder="1"/>
    <xf numFmtId="9" fontId="0" fillId="0" borderId="0" xfId="44" applyFont="1" applyBorder="1"/>
    <xf numFmtId="0" fontId="32" fillId="0" borderId="38" xfId="43" applyBorder="1"/>
    <xf numFmtId="9" fontId="32" fillId="0" borderId="39" xfId="43" applyNumberFormat="1" applyBorder="1"/>
    <xf numFmtId="0" fontId="32" fillId="0" borderId="39" xfId="43" applyBorder="1"/>
    <xf numFmtId="0" fontId="32" fillId="0" borderId="40" xfId="43" applyBorder="1"/>
    <xf numFmtId="0" fontId="56" fillId="0" borderId="0" xfId="0" applyFont="1" applyFill="1"/>
    <xf numFmtId="168" fontId="22" fillId="0" borderId="2" xfId="46" applyNumberFormat="1" applyFont="1" applyBorder="1"/>
    <xf numFmtId="0" fontId="69" fillId="0" borderId="0" xfId="43" applyFont="1"/>
    <xf numFmtId="0" fontId="69" fillId="48" borderId="2" xfId="43" applyFont="1" applyFill="1" applyBorder="1"/>
    <xf numFmtId="16" fontId="69" fillId="48" borderId="2" xfId="43" quotePrefix="1" applyNumberFormat="1" applyFont="1" applyFill="1" applyBorder="1" applyAlignment="1">
      <alignment horizontal="center"/>
    </xf>
    <xf numFmtId="0" fontId="69" fillId="48" borderId="2" xfId="43" quotePrefix="1" applyFont="1" applyFill="1" applyBorder="1" applyAlignment="1">
      <alignment horizontal="center"/>
    </xf>
    <xf numFmtId="0" fontId="69" fillId="48" borderId="2" xfId="43" applyFont="1" applyFill="1" applyBorder="1" applyAlignment="1">
      <alignment horizontal="center"/>
    </xf>
    <xf numFmtId="0" fontId="70" fillId="48" borderId="2" xfId="43" applyFont="1" applyFill="1" applyBorder="1" applyAlignment="1">
      <alignment horizontal="center"/>
    </xf>
    <xf numFmtId="0" fontId="71" fillId="48" borderId="2" xfId="43" applyFont="1" applyFill="1" applyBorder="1"/>
    <xf numFmtId="0" fontId="32" fillId="0" borderId="24" xfId="43" applyBorder="1" applyAlignment="1">
      <alignment horizontal="center"/>
    </xf>
    <xf numFmtId="0" fontId="35" fillId="0" borderId="22" xfId="43" applyFont="1" applyBorder="1" applyAlignment="1">
      <alignment horizontal="center"/>
    </xf>
    <xf numFmtId="0" fontId="35" fillId="0" borderId="24" xfId="43" applyFont="1" applyBorder="1" applyAlignment="1">
      <alignment horizontal="center"/>
    </xf>
    <xf numFmtId="0" fontId="36" fillId="0" borderId="24" xfId="43" applyFont="1" applyBorder="1" applyAlignment="1">
      <alignment horizontal="center"/>
    </xf>
    <xf numFmtId="0" fontId="72" fillId="48" borderId="2" xfId="43" applyFont="1" applyFill="1" applyBorder="1" applyAlignment="1">
      <alignment horizontal="center"/>
    </xf>
    <xf numFmtId="0" fontId="69" fillId="48" borderId="2" xfId="43" applyFont="1" applyFill="1" applyBorder="1" applyAlignment="1">
      <alignment horizontal="left" vertical="center"/>
    </xf>
    <xf numFmtId="0" fontId="69" fillId="48" borderId="2" xfId="43" applyFont="1" applyFill="1" applyBorder="1" applyAlignment="1">
      <alignment horizontal="center" vertical="center"/>
    </xf>
    <xf numFmtId="0" fontId="69" fillId="48" borderId="2" xfId="43" applyFont="1" applyFill="1" applyBorder="1" applyAlignment="1">
      <alignment horizontal="center" wrapText="1"/>
    </xf>
    <xf numFmtId="0" fontId="73" fillId="48" borderId="2" xfId="43" applyFont="1" applyFill="1" applyBorder="1" applyAlignment="1">
      <alignment horizontal="center" vertical="center" wrapText="1"/>
    </xf>
    <xf numFmtId="0" fontId="71" fillId="48" borderId="2" xfId="43" applyFont="1" applyFill="1" applyBorder="1" applyAlignment="1">
      <alignment horizontal="center" vertical="center" wrapText="1"/>
    </xf>
    <xf numFmtId="0" fontId="70" fillId="0" borderId="0" xfId="43" applyFont="1"/>
    <xf numFmtId="0" fontId="0" fillId="45" borderId="2" xfId="0" applyFill="1" applyBorder="1" applyAlignment="1">
      <alignment horizontal="center"/>
    </xf>
    <xf numFmtId="15" fontId="0" fillId="0" borderId="0" xfId="0" applyNumberFormat="1" applyFill="1" applyBorder="1"/>
    <xf numFmtId="0" fontId="59" fillId="53" borderId="31" xfId="0" applyFont="1" applyFill="1" applyBorder="1" applyAlignment="1">
      <alignment horizontal="center"/>
    </xf>
    <xf numFmtId="0" fontId="59" fillId="53" borderId="0" xfId="0" applyFont="1" applyFill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3" fillId="0" borderId="0" xfId="43" applyFont="1" applyAlignment="1">
      <alignment horizontal="center"/>
    </xf>
    <xf numFmtId="0" fontId="32" fillId="0" borderId="2" xfId="43" applyBorder="1" applyAlignment="1">
      <alignment horizontal="center" vertical="center"/>
    </xf>
    <xf numFmtId="0" fontId="69" fillId="48" borderId="2" xfId="43" applyFont="1" applyFill="1" applyBorder="1" applyAlignment="1">
      <alignment horizontal="center"/>
    </xf>
    <xf numFmtId="0" fontId="0" fillId="37" borderId="0" xfId="0" applyFill="1" applyAlignment="1">
      <alignment horizontal="center" wrapText="1"/>
    </xf>
    <xf numFmtId="0" fontId="0" fillId="0" borderId="2" xfId="0" applyBorder="1" applyAlignment="1">
      <alignment horizontal="center"/>
    </xf>
    <xf numFmtId="0" fontId="16" fillId="36" borderId="19" xfId="0" applyFont="1" applyFill="1" applyBorder="1" applyAlignment="1">
      <alignment horizontal="center"/>
    </xf>
    <xf numFmtId="0" fontId="16" fillId="36" borderId="18" xfId="0" applyFont="1" applyFill="1" applyBorder="1" applyAlignment="1">
      <alignment horizontal="center"/>
    </xf>
    <xf numFmtId="15" fontId="0" fillId="0" borderId="0" xfId="0" applyNumberFormat="1" applyAlignment="1">
      <alignment horizontal="center"/>
    </xf>
    <xf numFmtId="0" fontId="0" fillId="45" borderId="2" xfId="0" applyFill="1" applyBorder="1" applyAlignment="1">
      <alignment horizontal="center"/>
    </xf>
    <xf numFmtId="0" fontId="0" fillId="45" borderId="20" xfId="0" applyFill="1" applyBorder="1" applyAlignment="1">
      <alignment horizontal="center"/>
    </xf>
    <xf numFmtId="0" fontId="46" fillId="56" borderId="2" xfId="0" applyFont="1" applyFill="1" applyBorder="1" applyAlignment="1">
      <alignment horizontal="center"/>
    </xf>
    <xf numFmtId="0" fontId="46" fillId="56" borderId="2" xfId="0" applyFont="1" applyFill="1" applyBorder="1" applyAlignment="1">
      <alignment horizontal="center"/>
    </xf>
    <xf numFmtId="0" fontId="74" fillId="46" borderId="2" xfId="0" applyFont="1" applyFill="1" applyBorder="1" applyAlignment="1">
      <alignment horizontal="center"/>
    </xf>
    <xf numFmtId="0" fontId="31" fillId="0" borderId="2" xfId="0" applyFont="1" applyBorder="1"/>
    <xf numFmtId="0" fontId="50" fillId="57" borderId="0" xfId="45" quotePrefix="1" applyFill="1"/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6" builtinId="3"/>
    <cellStyle name="Currency" xfId="47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 xr:uid="{E4A401CF-9383-48E8-BDA7-3D7BFA1FF9AB}"/>
    <cellStyle name="Note" xfId="37" builtinId="10" customBuiltin="1"/>
    <cellStyle name="Output" xfId="38" builtinId="21" customBuiltin="1"/>
    <cellStyle name="Percent" xfId="39" builtinId="5"/>
    <cellStyle name="Percent 2" xfId="44" xr:uid="{424D7D50-F983-4D86-9DE4-D618C938BFBB}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F4F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194693</xdr:colOff>
      <xdr:row>0</xdr:row>
      <xdr:rowOff>213360</xdr:rowOff>
    </xdr:from>
    <xdr:to>
      <xdr:col>25</xdr:col>
      <xdr:colOff>99102</xdr:colOff>
      <xdr:row>14</xdr:row>
      <xdr:rowOff>167613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E98DF3-94FF-41F3-A628-322995662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89713" y="213360"/>
          <a:ext cx="5390808" cy="2621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1.nseindia.com/live_market/dynaContent/live_analysis/most_active_underlying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81ABE-421C-4C4A-85D3-A2745618E33A}">
  <dimension ref="A1:P53"/>
  <sheetViews>
    <sheetView showGridLines="0" zoomScale="90" workbookViewId="0">
      <selection activeCell="F5" sqref="F5"/>
    </sheetView>
  </sheetViews>
  <sheetFormatPr defaultRowHeight="14.4"/>
  <cols>
    <col min="1" max="1" width="15.44140625" customWidth="1"/>
    <col min="2" max="2" width="26.77734375" bestFit="1" customWidth="1"/>
    <col min="3" max="3" width="17.21875" customWidth="1"/>
    <col min="5" max="5" width="24.44140625" bestFit="1" customWidth="1"/>
    <col min="6" max="6" width="17.5546875" customWidth="1"/>
    <col min="7" max="7" width="11.77734375" bestFit="1" customWidth="1"/>
    <col min="8" max="8" width="14.44140625" customWidth="1"/>
    <col min="9" max="9" width="11.88671875" customWidth="1"/>
    <col min="10" max="10" width="13.21875" bestFit="1" customWidth="1"/>
    <col min="11" max="11" width="11.77734375" customWidth="1"/>
    <col min="12" max="12" width="14.109375" customWidth="1"/>
    <col min="13" max="13" width="12.44140625" bestFit="1" customWidth="1"/>
    <col min="14" max="14" width="9.5546875" bestFit="1" customWidth="1"/>
  </cols>
  <sheetData>
    <row r="1" spans="1:16" ht="18">
      <c r="A1" s="278" t="s">
        <v>524</v>
      </c>
      <c r="B1" s="279"/>
      <c r="C1" s="176" t="s">
        <v>532</v>
      </c>
      <c r="D1" s="125" t="s">
        <v>738</v>
      </c>
      <c r="H1" s="180" t="s">
        <v>552</v>
      </c>
      <c r="I1" s="11">
        <v>400000</v>
      </c>
      <c r="J1" s="4" t="str">
        <f>D1</f>
        <v>USD</v>
      </c>
      <c r="K1" s="4"/>
      <c r="L1" s="4"/>
    </row>
    <row r="2" spans="1:16">
      <c r="H2" s="180" t="s">
        <v>474</v>
      </c>
      <c r="I2" s="11">
        <v>50000</v>
      </c>
      <c r="J2" s="4" t="str">
        <f>J1</f>
        <v>USD</v>
      </c>
      <c r="K2" s="4"/>
      <c r="L2" s="4"/>
    </row>
    <row r="3" spans="1:16">
      <c r="J3" s="5" t="str">
        <f>J2</f>
        <v>USD</v>
      </c>
      <c r="K3" s="5"/>
      <c r="L3" s="5" t="str">
        <f>J3</f>
        <v>USD</v>
      </c>
    </row>
    <row r="4" spans="1:16" ht="21">
      <c r="B4" s="171" t="s">
        <v>525</v>
      </c>
      <c r="C4" s="240">
        <f>I1</f>
        <v>400000</v>
      </c>
      <c r="D4" s="4" t="str">
        <f>D1</f>
        <v>USD</v>
      </c>
      <c r="E4" s="171" t="s">
        <v>529</v>
      </c>
      <c r="F4" s="241">
        <v>326</v>
      </c>
      <c r="G4" s="4" t="str">
        <f>D1</f>
        <v>USD</v>
      </c>
      <c r="H4" s="82" t="s">
        <v>551</v>
      </c>
      <c r="I4" s="82" t="s">
        <v>546</v>
      </c>
      <c r="J4" s="82" t="s">
        <v>548</v>
      </c>
      <c r="K4" s="183" t="s">
        <v>566</v>
      </c>
      <c r="L4" s="82" t="s">
        <v>553</v>
      </c>
      <c r="N4" s="70">
        <v>0.5</v>
      </c>
      <c r="O4" s="70">
        <v>0.3</v>
      </c>
      <c r="P4" s="70">
        <v>0.2</v>
      </c>
    </row>
    <row r="5" spans="1:16">
      <c r="B5" s="171" t="s">
        <v>526</v>
      </c>
      <c r="C5" s="177">
        <v>0.02</v>
      </c>
      <c r="D5" s="4"/>
      <c r="E5" s="171" t="s">
        <v>530</v>
      </c>
      <c r="F5" s="225">
        <f>F4*0.96</f>
        <v>312.95999999999998</v>
      </c>
      <c r="G5" s="4" t="str">
        <f>D1</f>
        <v>USD</v>
      </c>
      <c r="H5" s="178" t="s">
        <v>700</v>
      </c>
      <c r="I5" s="178"/>
      <c r="J5" s="178"/>
      <c r="K5" s="187"/>
      <c r="L5" s="178"/>
      <c r="M5" s="179" t="s">
        <v>554</v>
      </c>
      <c r="N5" s="11"/>
      <c r="O5" s="11"/>
      <c r="P5" s="11"/>
    </row>
    <row r="6" spans="1:16">
      <c r="B6" s="171" t="s">
        <v>692</v>
      </c>
      <c r="C6" s="177">
        <v>0.05</v>
      </c>
      <c r="D6" s="4"/>
      <c r="E6" s="171" t="s">
        <v>531</v>
      </c>
      <c r="F6" s="225">
        <f>F4*1.1</f>
        <v>358.6</v>
      </c>
      <c r="G6" s="4" t="str">
        <f>D1</f>
        <v>USD</v>
      </c>
      <c r="H6" s="178" t="s">
        <v>578</v>
      </c>
      <c r="I6" s="178"/>
      <c r="J6" s="178"/>
      <c r="K6" s="187"/>
      <c r="L6" s="178"/>
    </row>
    <row r="7" spans="1:16">
      <c r="B7" s="189"/>
      <c r="C7" s="227"/>
      <c r="D7" s="228"/>
      <c r="E7" s="189"/>
      <c r="F7" s="72"/>
      <c r="G7" s="4"/>
      <c r="H7" s="178" t="s">
        <v>701</v>
      </c>
      <c r="I7" s="178"/>
      <c r="J7" s="178"/>
      <c r="K7" s="187"/>
      <c r="L7" s="178"/>
    </row>
    <row r="8" spans="1:16">
      <c r="B8" s="231" t="s">
        <v>698</v>
      </c>
      <c r="C8" s="229">
        <f>C14*(1-((D16-C6)/(D16)))</f>
        <v>61.349693251533694</v>
      </c>
      <c r="D8" s="228"/>
      <c r="E8" s="189"/>
      <c r="F8" s="72"/>
      <c r="G8" s="4"/>
      <c r="H8" s="178" t="s">
        <v>699</v>
      </c>
      <c r="I8" s="178"/>
      <c r="J8" s="178"/>
      <c r="K8" s="187"/>
      <c r="L8" s="178"/>
    </row>
    <row r="9" spans="1:16">
      <c r="B9" s="232" t="s">
        <v>694</v>
      </c>
      <c r="C9" s="233">
        <f>C8*N4</f>
        <v>30.674846625766847</v>
      </c>
      <c r="D9" s="234">
        <f>N4</f>
        <v>0.5</v>
      </c>
      <c r="E9" s="236"/>
      <c r="F9" s="236"/>
      <c r="G9" s="4"/>
      <c r="H9" s="178"/>
      <c r="I9" s="178"/>
      <c r="J9" s="178"/>
      <c r="K9" s="187"/>
      <c r="L9" s="178"/>
    </row>
    <row r="10" spans="1:16">
      <c r="B10" s="232" t="s">
        <v>695</v>
      </c>
      <c r="C10" s="233">
        <f>C8*O4</f>
        <v>18.404907975460109</v>
      </c>
      <c r="D10" s="234">
        <f>O4</f>
        <v>0.3</v>
      </c>
      <c r="E10" s="189"/>
      <c r="F10" s="72"/>
      <c r="G10" s="4"/>
      <c r="H10" s="178"/>
      <c r="I10" s="178"/>
      <c r="J10" s="178"/>
      <c r="K10" s="187"/>
      <c r="L10" s="178"/>
    </row>
    <row r="11" spans="1:16">
      <c r="B11" s="232" t="s">
        <v>696</v>
      </c>
      <c r="C11" s="233">
        <f>C8*P4</f>
        <v>12.26993865030674</v>
      </c>
      <c r="D11" s="234">
        <f>P4</f>
        <v>0.2</v>
      </c>
      <c r="E11" s="189"/>
      <c r="F11" s="72"/>
      <c r="G11" s="4"/>
      <c r="H11" s="178"/>
      <c r="I11" s="178"/>
      <c r="J11" s="178"/>
      <c r="K11" s="187"/>
      <c r="L11" s="178"/>
    </row>
    <row r="12" spans="1:16">
      <c r="B12" s="231" t="s">
        <v>693</v>
      </c>
      <c r="C12" s="230">
        <f>C6*C4</f>
        <v>20000</v>
      </c>
      <c r="D12" s="4"/>
      <c r="G12" s="4"/>
      <c r="H12" s="178"/>
      <c r="I12" s="178"/>
      <c r="J12" s="178"/>
      <c r="K12" s="187"/>
      <c r="L12" s="178"/>
    </row>
    <row r="13" spans="1:16">
      <c r="A13" s="209"/>
      <c r="G13" s="4"/>
      <c r="H13" s="178"/>
      <c r="I13" s="178"/>
      <c r="J13" s="178"/>
      <c r="K13" s="178"/>
      <c r="L13" s="178"/>
    </row>
    <row r="14" spans="1:16">
      <c r="B14" s="171" t="s">
        <v>697</v>
      </c>
      <c r="C14" s="172">
        <f>((C5*C4)/F16)</f>
        <v>613.49693251533643</v>
      </c>
      <c r="E14" s="171" t="s">
        <v>527</v>
      </c>
      <c r="F14" s="175">
        <f>F6-F4</f>
        <v>32.600000000000023</v>
      </c>
      <c r="G14" s="186">
        <f>F14/F4</f>
        <v>0.10000000000000007</v>
      </c>
    </row>
    <row r="15" spans="1:16">
      <c r="A15" s="1"/>
      <c r="B15" s="11"/>
      <c r="C15" s="11"/>
      <c r="D15" s="4"/>
      <c r="E15" s="11"/>
      <c r="F15" s="11"/>
      <c r="G15" s="4"/>
    </row>
    <row r="16" spans="1:16">
      <c r="B16" s="171" t="s">
        <v>534</v>
      </c>
      <c r="C16" s="172">
        <f>C14*F4</f>
        <v>199999.99999999968</v>
      </c>
      <c r="D16" s="226">
        <f>C16/C4</f>
        <v>0.49999999999999922</v>
      </c>
      <c r="E16" s="171" t="s">
        <v>528</v>
      </c>
      <c r="F16" s="175">
        <f>F4-F5</f>
        <v>13.04000000000002</v>
      </c>
      <c r="G16" s="186">
        <f>F16/F4</f>
        <v>4.0000000000000063E-2</v>
      </c>
      <c r="H16" s="82" t="s">
        <v>474</v>
      </c>
      <c r="I16" s="82" t="s">
        <v>546</v>
      </c>
      <c r="J16" s="82" t="s">
        <v>548</v>
      </c>
      <c r="K16" s="183" t="s">
        <v>566</v>
      </c>
      <c r="L16" s="82" t="s">
        <v>553</v>
      </c>
    </row>
    <row r="17" spans="1:14">
      <c r="B17" s="11"/>
      <c r="C17" s="11"/>
      <c r="D17" s="17"/>
      <c r="E17" s="11"/>
      <c r="F17" s="11"/>
      <c r="G17" s="4"/>
      <c r="H17" s="178" t="s">
        <v>550</v>
      </c>
      <c r="I17" s="178"/>
      <c r="J17" s="178"/>
      <c r="K17" s="178"/>
      <c r="L17" s="178"/>
    </row>
    <row r="18" spans="1:14">
      <c r="B18" s="171" t="s">
        <v>536</v>
      </c>
      <c r="C18" s="173">
        <f>F14*C14</f>
        <v>19999.999999999982</v>
      </c>
      <c r="D18" s="226">
        <f>C18/C16</f>
        <v>0.10000000000000007</v>
      </c>
      <c r="E18" s="171" t="s">
        <v>533</v>
      </c>
      <c r="F18" s="175">
        <f>F14/F16</f>
        <v>2.4999999999999978</v>
      </c>
      <c r="G18" s="4"/>
      <c r="H18" s="178" t="s">
        <v>547</v>
      </c>
      <c r="I18" s="178"/>
      <c r="J18" s="178"/>
      <c r="K18" s="178"/>
      <c r="L18" s="178"/>
    </row>
    <row r="19" spans="1:14">
      <c r="B19" s="11"/>
      <c r="C19" s="11"/>
      <c r="D19" s="17"/>
      <c r="G19" s="4"/>
      <c r="H19" s="178" t="s">
        <v>549</v>
      </c>
      <c r="I19" s="178"/>
      <c r="J19" s="178"/>
      <c r="K19" s="178"/>
      <c r="L19" s="178"/>
    </row>
    <row r="20" spans="1:14">
      <c r="B20" s="171" t="s">
        <v>579</v>
      </c>
      <c r="C20" s="197">
        <f>F16*C14</f>
        <v>7999.9999999999991</v>
      </c>
      <c r="D20" s="226">
        <f>C20/C16</f>
        <v>4.0000000000000056E-2</v>
      </c>
      <c r="E20" s="171" t="s">
        <v>535</v>
      </c>
      <c r="F20" s="174">
        <f>C18/C4</f>
        <v>4.9999999999999954E-2</v>
      </c>
      <c r="G20" s="4"/>
      <c r="H20" s="178"/>
      <c r="I20" s="178"/>
      <c r="J20" s="178"/>
      <c r="K20" s="178"/>
      <c r="L20" s="178"/>
    </row>
    <row r="22" spans="1:14">
      <c r="G22" s="184" t="s">
        <v>581</v>
      </c>
      <c r="H22" s="198" t="s">
        <v>580</v>
      </c>
      <c r="I22" s="71"/>
      <c r="J22" s="71"/>
    </row>
    <row r="23" spans="1:14">
      <c r="G23" s="184" t="s">
        <v>582</v>
      </c>
      <c r="H23" s="198" t="s">
        <v>585</v>
      </c>
      <c r="I23" s="71"/>
      <c r="J23" s="71"/>
    </row>
    <row r="24" spans="1:14">
      <c r="A24" s="11"/>
      <c r="B24" t="s">
        <v>537</v>
      </c>
      <c r="F24" s="124"/>
      <c r="G24" s="184" t="s">
        <v>583</v>
      </c>
      <c r="H24" s="198" t="s">
        <v>584</v>
      </c>
      <c r="I24" s="166"/>
      <c r="J24" s="71"/>
    </row>
    <row r="25" spans="1:14">
      <c r="A25" s="174"/>
      <c r="B25" t="s">
        <v>538</v>
      </c>
      <c r="F25" s="235"/>
      <c r="H25" s="71"/>
      <c r="I25" s="71"/>
      <c r="J25" s="71"/>
    </row>
    <row r="26" spans="1:14">
      <c r="H26" s="199" t="s">
        <v>588</v>
      </c>
      <c r="I26" s="188" t="s">
        <v>589</v>
      </c>
      <c r="J26" s="200" t="s">
        <v>590</v>
      </c>
      <c r="K26" s="201" t="s">
        <v>421</v>
      </c>
      <c r="L26" s="280" t="s">
        <v>591</v>
      </c>
      <c r="M26" s="280"/>
    </row>
    <row r="27" spans="1:14">
      <c r="A27" t="s">
        <v>583</v>
      </c>
      <c r="I27" s="203">
        <v>45.6</v>
      </c>
      <c r="J27" s="202">
        <v>8</v>
      </c>
      <c r="K27" s="182">
        <v>0.33</v>
      </c>
      <c r="L27" s="204">
        <f>I27+(I27*K27*(J27/365)^(1/2))</f>
        <v>47.827805869410717</v>
      </c>
      <c r="M27" s="204">
        <f>I27-(I27*K27*(J27/365)^(1/2))</f>
        <v>43.372194130589286</v>
      </c>
    </row>
    <row r="28" spans="1:14">
      <c r="A28" t="s">
        <v>572</v>
      </c>
      <c r="G28" s="76"/>
    </row>
    <row r="29" spans="1:14">
      <c r="A29" s="139" t="s">
        <v>718</v>
      </c>
      <c r="B29" s="139" t="s">
        <v>721</v>
      </c>
      <c r="C29" s="139" t="s">
        <v>574</v>
      </c>
      <c r="D29" s="139" t="s">
        <v>49</v>
      </c>
      <c r="E29" s="139" t="s">
        <v>587</v>
      </c>
      <c r="F29" s="139" t="s">
        <v>586</v>
      </c>
      <c r="G29" s="139" t="s">
        <v>569</v>
      </c>
      <c r="H29" s="139" t="s">
        <v>568</v>
      </c>
      <c r="I29" s="139" t="s">
        <v>573</v>
      </c>
      <c r="J29" s="194" t="s">
        <v>722</v>
      </c>
      <c r="K29" s="194" t="s">
        <v>570</v>
      </c>
      <c r="L29" s="194" t="s">
        <v>571</v>
      </c>
      <c r="M29" s="194" t="s">
        <v>575</v>
      </c>
      <c r="N29" s="194" t="s">
        <v>576</v>
      </c>
    </row>
    <row r="30" spans="1:14">
      <c r="A30" s="11" t="s">
        <v>457</v>
      </c>
      <c r="B30" s="190">
        <v>50000</v>
      </c>
      <c r="C30" s="190"/>
      <c r="D30" s="190">
        <v>1</v>
      </c>
      <c r="E30" s="190"/>
      <c r="F30" s="190"/>
      <c r="G30" s="190"/>
      <c r="H30" s="190"/>
      <c r="I30" s="190"/>
      <c r="J30" s="190"/>
      <c r="K30" s="11"/>
      <c r="L30" s="181">
        <v>0.6</v>
      </c>
      <c r="M30" s="11"/>
      <c r="N30" s="196" t="s">
        <v>577</v>
      </c>
    </row>
    <row r="31" spans="1:14">
      <c r="A31" s="11" t="s">
        <v>719</v>
      </c>
      <c r="B31" s="190">
        <f>C31*D31</f>
        <v>12500</v>
      </c>
      <c r="C31" s="190">
        <v>250</v>
      </c>
      <c r="D31" s="190">
        <f>50*$D$30</f>
        <v>50</v>
      </c>
      <c r="E31" s="190">
        <v>1</v>
      </c>
      <c r="F31" s="190">
        <v>2</v>
      </c>
      <c r="G31" s="190">
        <v>31</v>
      </c>
      <c r="H31" s="190">
        <f>G31*F31</f>
        <v>62</v>
      </c>
      <c r="I31" s="190">
        <v>5</v>
      </c>
      <c r="J31" s="190">
        <f>D31*H31</f>
        <v>3100</v>
      </c>
      <c r="K31" s="190">
        <f>J31*5</f>
        <v>15500</v>
      </c>
      <c r="L31" s="190">
        <f>I31*(H31*L30-(100%-L30)*G31)*D31</f>
        <v>6199.9999999999991</v>
      </c>
      <c r="M31" s="11"/>
      <c r="N31" s="11"/>
    </row>
    <row r="32" spans="1:14">
      <c r="A32" s="11" t="s">
        <v>720</v>
      </c>
      <c r="B32" s="190">
        <f>C32*D32</f>
        <v>15000</v>
      </c>
      <c r="C32" s="190">
        <v>600</v>
      </c>
      <c r="D32" s="190">
        <f>25*$D$30</f>
        <v>25</v>
      </c>
      <c r="E32" s="190">
        <v>1</v>
      </c>
      <c r="F32" s="190">
        <v>2</v>
      </c>
      <c r="G32" s="190">
        <v>80</v>
      </c>
      <c r="H32" s="190">
        <f>G32*F32</f>
        <v>160</v>
      </c>
      <c r="I32" s="190">
        <f>I31</f>
        <v>5</v>
      </c>
      <c r="J32" s="190">
        <f>D32*H32</f>
        <v>4000</v>
      </c>
      <c r="K32" s="190">
        <f>J32*5</f>
        <v>20000</v>
      </c>
      <c r="L32" s="190">
        <f>I32*(H32*L30-(100%-L30)*G32)*D32</f>
        <v>8000</v>
      </c>
      <c r="M32" s="11"/>
      <c r="N32" s="11"/>
    </row>
    <row r="33" spans="1:14" ht="15" thickBot="1">
      <c r="B33" s="2">
        <f>SUM(B31:B32)</f>
        <v>27500</v>
      </c>
      <c r="D33" s="1"/>
      <c r="J33" s="192">
        <f>SUM(J31:J32)</f>
        <v>7100</v>
      </c>
      <c r="K33" s="192">
        <f>SUM(K31:K32)</f>
        <v>35500</v>
      </c>
      <c r="L33" s="193">
        <f>SUM(L31:L32)</f>
        <v>14200</v>
      </c>
      <c r="M33" s="195">
        <f>J33/B33</f>
        <v>0.25818181818181818</v>
      </c>
      <c r="N33" s="195">
        <f>L33/(I31*B33)</f>
        <v>0.10327272727272727</v>
      </c>
    </row>
    <row r="34" spans="1:14" ht="15" thickTop="1"/>
    <row r="36" spans="1:14">
      <c r="A36" t="s">
        <v>702</v>
      </c>
    </row>
    <row r="37" spans="1:14">
      <c r="A37" s="151" t="s">
        <v>710</v>
      </c>
      <c r="B37" s="185" t="s">
        <v>711</v>
      </c>
      <c r="C37" s="185" t="s">
        <v>708</v>
      </c>
      <c r="D37" s="185" t="s">
        <v>709</v>
      </c>
      <c r="E37" s="185" t="s">
        <v>467</v>
      </c>
      <c r="F37" s="185" t="s">
        <v>707</v>
      </c>
      <c r="G37" s="185" t="s">
        <v>714</v>
      </c>
      <c r="H37" s="185" t="s">
        <v>715</v>
      </c>
      <c r="I37" s="185" t="s">
        <v>717</v>
      </c>
    </row>
    <row r="38" spans="1:14">
      <c r="A38" s="11" t="s">
        <v>457</v>
      </c>
      <c r="B38" s="11">
        <v>300000</v>
      </c>
      <c r="C38" s="237">
        <f>B38*B42*B40</f>
        <v>15000</v>
      </c>
      <c r="D38" s="237">
        <f>B38*B41*B43</f>
        <v>6000</v>
      </c>
      <c r="E38" s="237">
        <f>C38-D38</f>
        <v>9000</v>
      </c>
      <c r="F38" s="237">
        <f>E38*B39</f>
        <v>36000</v>
      </c>
      <c r="G38" s="238">
        <f>F38/B38</f>
        <v>0.12</v>
      </c>
      <c r="H38" s="238">
        <f>G38/4</f>
        <v>0.03</v>
      </c>
      <c r="I38" s="238">
        <f>G38*12</f>
        <v>1.44</v>
      </c>
    </row>
    <row r="39" spans="1:14">
      <c r="A39" s="11" t="s">
        <v>712</v>
      </c>
      <c r="B39" s="11">
        <v>4</v>
      </c>
      <c r="C39" s="100" t="s">
        <v>713</v>
      </c>
      <c r="D39" s="100"/>
      <c r="E39" s="100"/>
      <c r="F39" s="100"/>
      <c r="I39" s="1"/>
    </row>
    <row r="40" spans="1:14">
      <c r="A40" s="11" t="s">
        <v>704</v>
      </c>
      <c r="B40" s="148">
        <v>0.1</v>
      </c>
      <c r="I40" s="1"/>
    </row>
    <row r="41" spans="1:14">
      <c r="A41" s="11" t="s">
        <v>703</v>
      </c>
      <c r="B41" s="148">
        <v>0.04</v>
      </c>
      <c r="I41" s="1"/>
    </row>
    <row r="42" spans="1:14">
      <c r="A42" s="11" t="s">
        <v>705</v>
      </c>
      <c r="B42" s="70">
        <v>0.5</v>
      </c>
      <c r="I42" s="1"/>
    </row>
    <row r="43" spans="1:14">
      <c r="A43" s="11" t="s">
        <v>706</v>
      </c>
      <c r="B43" s="70">
        <f>1-B42</f>
        <v>0.5</v>
      </c>
      <c r="I43" s="1"/>
    </row>
    <row r="44" spans="1:14">
      <c r="I44" s="1"/>
    </row>
    <row r="45" spans="1:14">
      <c r="I45" s="1"/>
    </row>
    <row r="46" spans="1:14">
      <c r="A46" t="s">
        <v>702</v>
      </c>
      <c r="I46" s="1"/>
    </row>
    <row r="47" spans="1:14">
      <c r="A47" s="151" t="s">
        <v>710</v>
      </c>
      <c r="B47" s="185" t="s">
        <v>711</v>
      </c>
      <c r="C47" s="185" t="s">
        <v>708</v>
      </c>
      <c r="D47" s="185" t="s">
        <v>709</v>
      </c>
      <c r="E47" s="185" t="s">
        <v>467</v>
      </c>
      <c r="F47" s="185" t="s">
        <v>707</v>
      </c>
      <c r="G47" s="185" t="s">
        <v>714</v>
      </c>
      <c r="H47" s="185" t="s">
        <v>716</v>
      </c>
      <c r="I47" s="185" t="s">
        <v>717</v>
      </c>
    </row>
    <row r="48" spans="1:14">
      <c r="A48" s="11" t="s">
        <v>457</v>
      </c>
      <c r="B48" s="11">
        <v>300000</v>
      </c>
      <c r="C48" s="239">
        <f>B48*B52*B50</f>
        <v>3750</v>
      </c>
      <c r="D48" s="239">
        <f>B48*B51*B53</f>
        <v>1500</v>
      </c>
      <c r="E48" s="239">
        <f>C48-D48</f>
        <v>2250</v>
      </c>
      <c r="F48" s="239">
        <f>E48*B49</f>
        <v>18000</v>
      </c>
      <c r="G48" s="238">
        <f>F48/B48</f>
        <v>0.06</v>
      </c>
      <c r="H48" s="238">
        <f>G48/B49</f>
        <v>7.4999999999999997E-3</v>
      </c>
      <c r="I48" s="238">
        <f>G48*12</f>
        <v>0.72</v>
      </c>
    </row>
    <row r="49" spans="1:6">
      <c r="A49" s="11" t="s">
        <v>712</v>
      </c>
      <c r="B49" s="11">
        <f>2*4</f>
        <v>8</v>
      </c>
      <c r="C49" s="100" t="s">
        <v>713</v>
      </c>
      <c r="D49" s="100"/>
      <c r="E49" s="100"/>
      <c r="F49" s="100"/>
    </row>
    <row r="50" spans="1:6">
      <c r="A50" s="11" t="s">
        <v>704</v>
      </c>
      <c r="B50" s="148">
        <v>2.5000000000000001E-2</v>
      </c>
    </row>
    <row r="51" spans="1:6">
      <c r="A51" s="11" t="s">
        <v>703</v>
      </c>
      <c r="B51" s="148">
        <v>0.01</v>
      </c>
    </row>
    <row r="52" spans="1:6">
      <c r="A52" s="11" t="s">
        <v>705</v>
      </c>
      <c r="B52" s="70">
        <v>0.5</v>
      </c>
    </row>
    <row r="53" spans="1:6">
      <c r="A53" s="11" t="s">
        <v>706</v>
      </c>
      <c r="B53" s="70">
        <f>1-B52</f>
        <v>0.5</v>
      </c>
    </row>
  </sheetData>
  <mergeCells count="2">
    <mergeCell ref="A1:B1"/>
    <mergeCell ref="L26:M26"/>
  </mergeCells>
  <pageMargins left="0.7" right="0.7" top="0.75" bottom="0.75" header="0.3" footer="0.3"/>
  <pageSetup orientation="portrait" horizontalDpi="300" verticalDpi="300" r:id="rId1"/>
  <customProperties>
    <customPr name="LiveFeeds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F48D4-6D8C-429A-8C3C-55ECCFD9434E}">
  <dimension ref="A1:S58"/>
  <sheetViews>
    <sheetView zoomScale="80" zoomScaleNormal="70" workbookViewId="0">
      <selection activeCell="O7" sqref="O7"/>
    </sheetView>
  </sheetViews>
  <sheetFormatPr defaultColWidth="13.33203125" defaultRowHeight="15"/>
  <cols>
    <col min="1" max="1" width="13.33203125" style="31"/>
    <col min="2" max="2" width="16.88671875" style="31" bestFit="1" customWidth="1"/>
    <col min="3" max="3" width="33.5546875" style="31" customWidth="1"/>
    <col min="4" max="4" width="16.88671875" style="31" customWidth="1"/>
    <col min="5" max="5" width="20.77734375" style="31" customWidth="1"/>
    <col min="6" max="9" width="13.33203125" style="31"/>
    <col min="10" max="10" width="15.88671875" style="31" customWidth="1"/>
    <col min="11" max="11" width="13.33203125" style="31"/>
    <col min="12" max="12" width="11.33203125" style="31" customWidth="1"/>
    <col min="13" max="13" width="18.5546875" style="31" customWidth="1"/>
    <col min="14" max="15" width="17.6640625" style="31" customWidth="1"/>
    <col min="16" max="16" width="8.88671875" style="31" customWidth="1"/>
    <col min="17" max="17" width="11.21875" style="31" customWidth="1"/>
    <col min="18" max="18" width="10.109375" style="31" customWidth="1"/>
    <col min="19" max="19" width="28.5546875" style="31" bestFit="1" customWidth="1"/>
    <col min="20" max="16384" width="13.33203125" style="31"/>
  </cols>
  <sheetData>
    <row r="1" spans="1:19" ht="15.6">
      <c r="I1" s="281"/>
      <c r="J1" s="281"/>
      <c r="K1" s="281"/>
    </row>
    <row r="2" spans="1:19" s="32" customFormat="1" ht="30.6">
      <c r="A2" s="282"/>
      <c r="B2" s="282"/>
      <c r="C2" s="270" t="s">
        <v>356</v>
      </c>
      <c r="D2" s="271"/>
      <c r="E2" s="271" t="s">
        <v>357</v>
      </c>
      <c r="F2" s="272" t="s">
        <v>358</v>
      </c>
      <c r="G2" s="271"/>
      <c r="H2" s="271"/>
      <c r="I2" s="271"/>
      <c r="J2" s="271"/>
      <c r="K2" s="271"/>
      <c r="L2" s="273" t="s">
        <v>359</v>
      </c>
      <c r="M2" s="271"/>
      <c r="N2" s="274" t="s">
        <v>360</v>
      </c>
      <c r="O2" s="271"/>
      <c r="P2" s="271"/>
      <c r="Q2" s="271"/>
    </row>
    <row r="3" spans="1:19">
      <c r="I3" s="275" t="s">
        <v>361</v>
      </c>
    </row>
    <row r="4" spans="1:19">
      <c r="I4" s="258" t="s">
        <v>362</v>
      </c>
    </row>
    <row r="5" spans="1:19">
      <c r="B5" s="259" t="s">
        <v>363</v>
      </c>
      <c r="C5" s="259" t="s">
        <v>364</v>
      </c>
      <c r="D5" s="259" t="s">
        <v>365</v>
      </c>
      <c r="E5" s="259" t="s">
        <v>366</v>
      </c>
      <c r="F5" s="259"/>
      <c r="G5" s="259"/>
      <c r="H5" s="260" t="s">
        <v>367</v>
      </c>
      <c r="I5" s="260" t="s">
        <v>368</v>
      </c>
      <c r="J5" s="261" t="s">
        <v>369</v>
      </c>
      <c r="K5" s="262" t="s">
        <v>370</v>
      </c>
      <c r="L5" s="261" t="s">
        <v>369</v>
      </c>
      <c r="M5" s="262" t="s">
        <v>371</v>
      </c>
      <c r="N5" s="262" t="s">
        <v>372</v>
      </c>
      <c r="O5" s="261" t="s">
        <v>373</v>
      </c>
      <c r="P5" s="262"/>
      <c r="Q5" s="262"/>
      <c r="R5" s="262"/>
      <c r="S5" s="259" t="s">
        <v>453</v>
      </c>
    </row>
    <row r="6" spans="1:19">
      <c r="B6" s="259"/>
      <c r="C6" s="259"/>
      <c r="D6" s="262"/>
      <c r="E6" s="259"/>
      <c r="F6" s="263"/>
      <c r="G6" s="263"/>
      <c r="H6" s="263"/>
      <c r="I6" s="263"/>
      <c r="J6" s="263" t="s">
        <v>374</v>
      </c>
      <c r="K6" s="263"/>
      <c r="L6" s="263" t="s">
        <v>375</v>
      </c>
      <c r="M6" s="263"/>
      <c r="N6" s="262"/>
      <c r="O6" s="263" t="s">
        <v>376</v>
      </c>
      <c r="P6" s="283" t="s">
        <v>377</v>
      </c>
      <c r="Q6" s="283"/>
      <c r="R6" s="262"/>
      <c r="S6" s="264" t="s">
        <v>454</v>
      </c>
    </row>
    <row r="7" spans="1:19" s="34" customFormat="1">
      <c r="B7" s="262"/>
      <c r="C7" s="262"/>
      <c r="D7" s="262" t="s">
        <v>378</v>
      </c>
      <c r="E7" s="262" t="s">
        <v>379</v>
      </c>
      <c r="F7" s="263" t="s">
        <v>380</v>
      </c>
      <c r="G7" s="263" t="s">
        <v>381</v>
      </c>
      <c r="H7" s="263" t="s">
        <v>382</v>
      </c>
      <c r="I7" s="263" t="s">
        <v>383</v>
      </c>
      <c r="J7" s="263" t="s">
        <v>384</v>
      </c>
      <c r="K7" s="263" t="s">
        <v>385</v>
      </c>
      <c r="L7" s="263" t="s">
        <v>386</v>
      </c>
      <c r="M7" s="263" t="s">
        <v>387</v>
      </c>
      <c r="N7" s="263" t="s">
        <v>388</v>
      </c>
      <c r="O7" s="269" t="s">
        <v>389</v>
      </c>
      <c r="P7" s="263" t="s">
        <v>390</v>
      </c>
      <c r="Q7" s="263" t="s">
        <v>391</v>
      </c>
      <c r="R7" s="263" t="s">
        <v>392</v>
      </c>
      <c r="S7" s="262" t="s">
        <v>452</v>
      </c>
    </row>
    <row r="8" spans="1:19" s="34" customFormat="1">
      <c r="D8" s="265"/>
      <c r="E8" s="265"/>
      <c r="F8" s="266"/>
      <c r="G8" s="267"/>
      <c r="H8" s="267"/>
      <c r="I8" s="267"/>
      <c r="J8" s="267"/>
      <c r="K8" s="267"/>
      <c r="L8" s="267"/>
      <c r="M8" s="267"/>
      <c r="N8" s="267"/>
      <c r="O8" s="268"/>
      <c r="P8" s="267"/>
      <c r="Q8" s="267"/>
      <c r="R8" s="267"/>
    </row>
    <row r="9" spans="1:19">
      <c r="A9" s="97" t="s">
        <v>565</v>
      </c>
      <c r="C9" s="33" t="s">
        <v>733</v>
      </c>
      <c r="D9" s="35">
        <v>29851</v>
      </c>
      <c r="E9" s="35">
        <v>59.23</v>
      </c>
      <c r="F9" s="35">
        <v>97.46</v>
      </c>
      <c r="G9" s="35">
        <v>305</v>
      </c>
      <c r="H9" s="35">
        <v>38.24</v>
      </c>
      <c r="I9" s="96">
        <f>F9*H9</f>
        <v>3726.8703999999998</v>
      </c>
      <c r="J9" s="44">
        <f>F9/G9</f>
        <v>0.31954098360655736</v>
      </c>
      <c r="K9" s="35">
        <v>48.92</v>
      </c>
      <c r="L9" s="35">
        <v>0</v>
      </c>
      <c r="M9" s="40">
        <v>1.72</v>
      </c>
      <c r="N9" s="35">
        <v>61.17</v>
      </c>
      <c r="O9" s="35">
        <v>0.94</v>
      </c>
      <c r="P9" s="35">
        <v>17685</v>
      </c>
      <c r="Q9" s="35">
        <v>29995</v>
      </c>
      <c r="R9" s="95">
        <v>0.5</v>
      </c>
      <c r="S9" s="35">
        <v>0.81</v>
      </c>
    </row>
    <row r="10" spans="1:19">
      <c r="A10" s="97" t="s">
        <v>565</v>
      </c>
      <c r="B10" s="31" t="s">
        <v>393</v>
      </c>
      <c r="C10" s="37" t="s">
        <v>734</v>
      </c>
      <c r="D10" s="33">
        <v>1983</v>
      </c>
      <c r="E10" s="35">
        <v>8.8699999999999992</v>
      </c>
      <c r="F10" s="38">
        <v>2.77</v>
      </c>
      <c r="G10" s="35">
        <v>790.82</v>
      </c>
      <c r="H10" s="35">
        <v>4.8499999999999996</v>
      </c>
      <c r="I10" s="39">
        <f>F10*H10</f>
        <v>13.4345</v>
      </c>
      <c r="J10" s="39">
        <v>0.15920000000000001</v>
      </c>
      <c r="K10" s="35">
        <v>55.92</v>
      </c>
      <c r="L10" s="40">
        <v>0.16</v>
      </c>
      <c r="M10" s="38">
        <v>2.2999999999999998</v>
      </c>
      <c r="N10" s="38">
        <v>7.5</v>
      </c>
      <c r="O10" s="40">
        <v>1.57</v>
      </c>
      <c r="P10" s="35">
        <v>1974</v>
      </c>
      <c r="Q10" s="35">
        <v>4950</v>
      </c>
      <c r="R10" s="35"/>
      <c r="S10" s="35"/>
    </row>
    <row r="11" spans="1:19">
      <c r="A11" s="97" t="s">
        <v>565</v>
      </c>
      <c r="B11" s="31" t="s">
        <v>393</v>
      </c>
      <c r="C11" s="33" t="s">
        <v>736</v>
      </c>
      <c r="D11" s="33">
        <v>417</v>
      </c>
      <c r="E11" s="35">
        <v>8.8699999999999992</v>
      </c>
      <c r="F11" s="38">
        <v>2.67</v>
      </c>
      <c r="G11" s="35">
        <v>172.7</v>
      </c>
      <c r="H11" s="35">
        <v>5.46</v>
      </c>
      <c r="I11" s="39">
        <f>F11*H11</f>
        <v>14.578199999999999</v>
      </c>
      <c r="J11" s="38">
        <v>0.15</v>
      </c>
      <c r="K11" s="35">
        <v>33.799999999999997</v>
      </c>
      <c r="L11" s="40">
        <v>0.06</v>
      </c>
      <c r="M11" s="35">
        <v>3.27</v>
      </c>
      <c r="N11" s="40">
        <v>9.93</v>
      </c>
      <c r="O11" s="40">
        <v>2.4300000000000002</v>
      </c>
      <c r="P11" s="35">
        <v>395</v>
      </c>
      <c r="Q11" s="35">
        <v>1126</v>
      </c>
      <c r="R11" s="35"/>
      <c r="S11" s="33"/>
    </row>
    <row r="12" spans="1:19">
      <c r="A12" s="97"/>
    </row>
    <row r="13" spans="1:19">
      <c r="A13" s="97" t="s">
        <v>565</v>
      </c>
      <c r="B13" s="31" t="s">
        <v>739</v>
      </c>
      <c r="C13" s="37" t="s">
        <v>737</v>
      </c>
      <c r="D13" s="33">
        <v>250</v>
      </c>
      <c r="E13" s="35">
        <v>28.78</v>
      </c>
      <c r="F13" s="41">
        <v>21.27</v>
      </c>
      <c r="G13" s="35">
        <v>12.04</v>
      </c>
      <c r="H13" s="35">
        <v>4.12</v>
      </c>
      <c r="I13" s="42">
        <f>F13*H13</f>
        <v>87.632400000000004</v>
      </c>
      <c r="J13" s="39">
        <f>F13/(((9.91-7.01)/7.01)*100)</f>
        <v>0.51414724137931023</v>
      </c>
      <c r="K13" s="35">
        <v>10.82</v>
      </c>
      <c r="L13" s="38">
        <v>0.78</v>
      </c>
      <c r="M13" s="35">
        <v>0.66</v>
      </c>
      <c r="N13" s="38">
        <v>9.3800000000000008</v>
      </c>
      <c r="O13" s="35">
        <v>0.33</v>
      </c>
      <c r="P13" s="35">
        <v>205</v>
      </c>
      <c r="Q13" s="35">
        <v>378</v>
      </c>
      <c r="R13" s="35"/>
      <c r="S13" s="33"/>
    </row>
    <row r="14" spans="1:19">
      <c r="A14" s="97"/>
    </row>
    <row r="15" spans="1:19">
      <c r="A15" s="97" t="s">
        <v>565</v>
      </c>
      <c r="B15" s="31" t="s">
        <v>394</v>
      </c>
      <c r="C15" s="33" t="s">
        <v>735</v>
      </c>
      <c r="D15" s="33">
        <v>1016</v>
      </c>
      <c r="E15" s="35">
        <v>23.84</v>
      </c>
      <c r="F15" s="38">
        <v>14.07</v>
      </c>
      <c r="G15" s="35">
        <v>72.239999999999995</v>
      </c>
      <c r="H15" s="35">
        <v>3.79</v>
      </c>
      <c r="I15" s="42">
        <f>F15*H15</f>
        <v>53.325299999999999</v>
      </c>
      <c r="J15" s="42">
        <f>F15/9</f>
        <v>1.5633333333333335</v>
      </c>
      <c r="K15" s="35">
        <v>26.17</v>
      </c>
      <c r="L15" s="35">
        <v>0</v>
      </c>
      <c r="M15" s="35">
        <v>3.29</v>
      </c>
      <c r="N15" s="35">
        <v>13.19</v>
      </c>
      <c r="O15" s="35">
        <v>3.28</v>
      </c>
      <c r="P15" s="35">
        <v>880</v>
      </c>
      <c r="Q15" s="35">
        <v>1124</v>
      </c>
      <c r="R15" s="35"/>
      <c r="S15" s="33"/>
    </row>
    <row r="16" spans="1:19">
      <c r="A16" s="97" t="s">
        <v>565</v>
      </c>
      <c r="B16" s="31" t="s">
        <v>394</v>
      </c>
      <c r="C16" s="37" t="s">
        <v>733</v>
      </c>
      <c r="D16" s="33">
        <v>337</v>
      </c>
      <c r="E16" s="35">
        <v>23.84</v>
      </c>
      <c r="F16" s="38">
        <v>12.79</v>
      </c>
      <c r="G16" s="35">
        <v>26.35</v>
      </c>
      <c r="H16" s="38">
        <v>2.33</v>
      </c>
      <c r="I16" s="42">
        <f>F16*H16</f>
        <v>29.800699999999999</v>
      </c>
      <c r="J16" s="39">
        <f>F16/(((21.47-15.99)/15.99)*100)</f>
        <v>0.37319726277372267</v>
      </c>
      <c r="K16" s="38">
        <v>15.41</v>
      </c>
      <c r="L16" s="35">
        <v>0</v>
      </c>
      <c r="M16" s="38">
        <v>1.59</v>
      </c>
      <c r="N16" s="35">
        <v>13.27</v>
      </c>
      <c r="O16" s="40">
        <v>1.59</v>
      </c>
      <c r="P16" s="35">
        <v>316</v>
      </c>
      <c r="Q16" s="35">
        <v>510</v>
      </c>
      <c r="R16" s="35"/>
      <c r="S16" s="33"/>
    </row>
    <row r="17" spans="1:19">
      <c r="A17" s="97" t="s">
        <v>565</v>
      </c>
      <c r="B17" s="31" t="s">
        <v>394</v>
      </c>
      <c r="C17" s="33" t="s">
        <v>733</v>
      </c>
      <c r="D17" s="33">
        <v>1984</v>
      </c>
      <c r="E17" s="35">
        <v>23.84</v>
      </c>
      <c r="F17" s="35">
        <v>24.65</v>
      </c>
      <c r="G17" s="35">
        <v>80.62</v>
      </c>
      <c r="H17" s="35">
        <v>8.7200000000000006</v>
      </c>
      <c r="I17" s="42">
        <f>F17*H17</f>
        <v>214.94800000000001</v>
      </c>
      <c r="J17" s="42">
        <f>F17/(((131-120)/120)*100)</f>
        <v>2.689090909090909</v>
      </c>
      <c r="K17" s="35">
        <v>41.5</v>
      </c>
      <c r="L17" s="35">
        <v>0</v>
      </c>
      <c r="M17" s="35">
        <v>4.8499999999999996</v>
      </c>
      <c r="N17" s="35">
        <v>16.100000000000001</v>
      </c>
      <c r="O17" s="35">
        <v>4.8499999999999996</v>
      </c>
      <c r="P17" s="35">
        <v>1390</v>
      </c>
      <c r="Q17" s="35">
        <v>2275</v>
      </c>
      <c r="R17" s="35"/>
      <c r="S17" s="33"/>
    </row>
    <row r="18" spans="1:19">
      <c r="A18" s="97" t="s">
        <v>565</v>
      </c>
      <c r="B18" s="31" t="s">
        <v>394</v>
      </c>
      <c r="C18" s="33" t="s">
        <v>733</v>
      </c>
      <c r="D18" s="43">
        <v>735</v>
      </c>
      <c r="E18" s="35">
        <v>23.84</v>
      </c>
      <c r="F18" s="38">
        <v>21.4</v>
      </c>
      <c r="G18" s="35">
        <v>34.380000000000003</v>
      </c>
      <c r="H18" s="35">
        <v>4.95</v>
      </c>
      <c r="I18" s="42">
        <f>F18*H18</f>
        <v>105.92999999999999</v>
      </c>
      <c r="J18" s="42">
        <f>F18/(((71-60)/60)*100)</f>
        <v>1.1672727272727272</v>
      </c>
      <c r="K18" s="35">
        <v>31</v>
      </c>
      <c r="L18" s="35"/>
      <c r="M18" s="35">
        <v>3.78</v>
      </c>
      <c r="N18" s="38">
        <v>10.84</v>
      </c>
      <c r="O18" s="35">
        <v>3.78</v>
      </c>
      <c r="P18" s="35">
        <v>551</v>
      </c>
      <c r="Q18" s="35">
        <v>772</v>
      </c>
      <c r="R18" s="35"/>
      <c r="S18" s="33"/>
    </row>
    <row r="19" spans="1:19">
      <c r="A19" s="97" t="s">
        <v>565</v>
      </c>
      <c r="B19" s="31" t="s">
        <v>394</v>
      </c>
      <c r="C19" s="33" t="s">
        <v>733</v>
      </c>
      <c r="D19" s="43">
        <v>227.55</v>
      </c>
      <c r="E19" s="35">
        <v>23.84</v>
      </c>
      <c r="F19" s="38">
        <v>17.04</v>
      </c>
      <c r="G19" s="35">
        <v>13.48</v>
      </c>
      <c r="H19" s="38">
        <v>3.07</v>
      </c>
      <c r="I19" s="42">
        <f>F19*H19</f>
        <v>52.312799999999996</v>
      </c>
      <c r="J19" s="42">
        <f>F19/(((7.8-30)/30)*100)</f>
        <v>-0.23027027027027025</v>
      </c>
      <c r="K19" s="38">
        <v>14.63</v>
      </c>
      <c r="L19" s="35">
        <v>0</v>
      </c>
      <c r="M19" s="35">
        <v>4.75</v>
      </c>
      <c r="N19" s="35">
        <v>12.74</v>
      </c>
      <c r="O19" s="35">
        <v>4.75</v>
      </c>
      <c r="P19" s="35">
        <v>178</v>
      </c>
      <c r="Q19" s="35">
        <v>349</v>
      </c>
      <c r="R19" s="35"/>
      <c r="S19" s="33"/>
    </row>
    <row r="20" spans="1:19">
      <c r="A20" s="97" t="s">
        <v>565</v>
      </c>
      <c r="C20" s="33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3"/>
    </row>
    <row r="21" spans="1:19">
      <c r="A21" s="97" t="s">
        <v>565</v>
      </c>
      <c r="B21" s="31" t="s">
        <v>395</v>
      </c>
      <c r="C21" s="37" t="s">
        <v>737</v>
      </c>
      <c r="D21" s="33">
        <v>287</v>
      </c>
      <c r="E21" s="35">
        <v>16.53</v>
      </c>
      <c r="F21" s="35">
        <v>17.55</v>
      </c>
      <c r="G21" s="35">
        <v>16.64</v>
      </c>
      <c r="H21" s="40">
        <v>3.12</v>
      </c>
      <c r="I21" s="42">
        <f>F21*H21</f>
        <v>54.756000000000007</v>
      </c>
      <c r="J21" s="39">
        <f>F21/(((19.7-13.7)/13.7)*100)</f>
        <v>0.40072499999999994</v>
      </c>
      <c r="K21" s="38">
        <v>13.15</v>
      </c>
      <c r="L21" s="35">
        <v>3.28</v>
      </c>
      <c r="M21" s="35">
        <v>3.29</v>
      </c>
      <c r="N21" s="35">
        <v>11.9</v>
      </c>
      <c r="O21" s="35">
        <v>3.28</v>
      </c>
      <c r="P21" s="35">
        <v>225</v>
      </c>
      <c r="Q21" s="35">
        <v>373</v>
      </c>
      <c r="R21" s="35"/>
      <c r="S21" s="33"/>
    </row>
    <row r="22" spans="1:19">
      <c r="A22" s="97"/>
    </row>
    <row r="23" spans="1:19">
      <c r="A23" s="97" t="s">
        <v>565</v>
      </c>
      <c r="B23" s="31" t="s">
        <v>396</v>
      </c>
      <c r="C23" s="37" t="s">
        <v>737</v>
      </c>
      <c r="D23" s="43">
        <v>104.8</v>
      </c>
      <c r="E23" s="35">
        <v>12.04</v>
      </c>
      <c r="F23" s="38">
        <v>7.47</v>
      </c>
      <c r="G23" s="35">
        <v>14.02</v>
      </c>
      <c r="H23" s="38">
        <v>1.32</v>
      </c>
      <c r="I23" s="39">
        <f>F23*H23</f>
        <v>9.8604000000000003</v>
      </c>
      <c r="J23" s="39">
        <f>F23/(((12.03-7.22)/7.22)*100)</f>
        <v>0.11212765072765073</v>
      </c>
      <c r="K23" s="35">
        <v>24.22</v>
      </c>
      <c r="L23" s="38">
        <v>0.02</v>
      </c>
      <c r="M23" s="35">
        <v>2.5</v>
      </c>
      <c r="N23" s="38">
        <v>5.15</v>
      </c>
      <c r="O23" s="35">
        <v>2.33</v>
      </c>
      <c r="P23" s="35">
        <v>86</v>
      </c>
      <c r="Q23" s="35">
        <v>126</v>
      </c>
      <c r="R23" s="35"/>
      <c r="S23" s="33"/>
    </row>
    <row r="24" spans="1:19">
      <c r="A24" s="97" t="s">
        <v>565</v>
      </c>
      <c r="B24" s="31" t="s">
        <v>397</v>
      </c>
      <c r="C24" s="33" t="s">
        <v>737</v>
      </c>
      <c r="D24" s="43">
        <v>610</v>
      </c>
      <c r="E24" s="35">
        <v>28.99</v>
      </c>
      <c r="F24" s="35">
        <v>44.74</v>
      </c>
      <c r="G24" s="35">
        <v>13.7</v>
      </c>
      <c r="H24" s="35">
        <v>6.51</v>
      </c>
      <c r="I24" s="42">
        <f>F24*H24</f>
        <v>291.25740000000002</v>
      </c>
      <c r="J24" s="39">
        <f>F24/(((7.14-2.83)/2.83)*100)</f>
        <v>0.29376844547563813</v>
      </c>
      <c r="K24" s="35">
        <v>3.45</v>
      </c>
      <c r="L24" s="35">
        <v>0.01</v>
      </c>
      <c r="M24" s="35">
        <v>2.4700000000000002</v>
      </c>
      <c r="N24" s="35">
        <v>80.2</v>
      </c>
      <c r="O24" s="40">
        <v>1.8</v>
      </c>
      <c r="P24" s="35">
        <v>543</v>
      </c>
      <c r="Q24" s="35">
        <v>718</v>
      </c>
      <c r="R24" s="35">
        <v>0.16</v>
      </c>
      <c r="S24" s="33"/>
    </row>
    <row r="25" spans="1:19">
      <c r="A25" s="97" t="s">
        <v>565</v>
      </c>
      <c r="B25" s="31" t="s">
        <v>398</v>
      </c>
      <c r="C25" s="33" t="s">
        <v>737</v>
      </c>
      <c r="D25" s="43">
        <v>42.95</v>
      </c>
      <c r="E25" s="35">
        <v>6.51</v>
      </c>
      <c r="F25" s="35">
        <v>11.63</v>
      </c>
      <c r="G25" s="35">
        <v>3.69</v>
      </c>
      <c r="H25" s="35">
        <v>0.37</v>
      </c>
      <c r="I25" s="42">
        <f>F25*H25</f>
        <v>4.3031000000000006</v>
      </c>
      <c r="J25" s="39">
        <f>F25/((((0.93-0.35)/0.35))*100)</f>
        <v>7.0181034482758614E-2</v>
      </c>
      <c r="K25" s="35">
        <v>1.51</v>
      </c>
      <c r="L25" s="35">
        <v>0</v>
      </c>
      <c r="M25" s="35">
        <v>36</v>
      </c>
      <c r="N25" s="35">
        <v>46.47</v>
      </c>
      <c r="O25" s="35">
        <v>36</v>
      </c>
      <c r="P25" s="35">
        <v>34.299999999999997</v>
      </c>
      <c r="Q25" s="35">
        <v>60</v>
      </c>
      <c r="R25" s="35"/>
      <c r="S25" s="33"/>
    </row>
    <row r="26" spans="1:19">
      <c r="A26" s="97" t="s">
        <v>565</v>
      </c>
      <c r="B26" s="31" t="s">
        <v>399</v>
      </c>
      <c r="C26" s="33" t="s">
        <v>737</v>
      </c>
      <c r="D26" s="35">
        <v>15.3</v>
      </c>
      <c r="E26" s="35">
        <v>26.12</v>
      </c>
      <c r="F26" s="40">
        <v>8.82</v>
      </c>
      <c r="G26" s="35">
        <v>1.74</v>
      </c>
      <c r="H26" s="40">
        <v>1.04</v>
      </c>
      <c r="I26" s="44">
        <f>F26*H26</f>
        <v>9.1728000000000005</v>
      </c>
      <c r="J26" s="40">
        <v>0.12</v>
      </c>
      <c r="K26" s="35">
        <v>5.28</v>
      </c>
      <c r="L26" s="35">
        <v>0</v>
      </c>
      <c r="M26" s="35">
        <v>0.86</v>
      </c>
      <c r="N26" s="35">
        <v>16.48</v>
      </c>
      <c r="O26" s="40">
        <v>0.86</v>
      </c>
      <c r="P26" s="35">
        <v>11.4</v>
      </c>
      <c r="Q26" s="35">
        <v>40.200000000000003</v>
      </c>
      <c r="R26" s="35"/>
      <c r="S26" s="33"/>
    </row>
    <row r="27" spans="1:19">
      <c r="A27" s="97"/>
    </row>
    <row r="28" spans="1:19">
      <c r="A28" s="97" t="s">
        <v>565</v>
      </c>
      <c r="B28" s="31" t="s">
        <v>400</v>
      </c>
      <c r="C28" s="33" t="s">
        <v>737</v>
      </c>
      <c r="D28" s="35">
        <v>290</v>
      </c>
      <c r="E28" s="35">
        <v>14.1</v>
      </c>
      <c r="F28" s="35">
        <v>15.14</v>
      </c>
      <c r="G28" s="35">
        <v>19.190000000000001</v>
      </c>
      <c r="H28" s="35">
        <v>3.74</v>
      </c>
      <c r="I28" s="42">
        <f>F28*H28</f>
        <v>56.623600000000003</v>
      </c>
      <c r="J28" s="44">
        <f>F28/(((16.73-10.96)/10.96)*100)</f>
        <v>0.28758128249566728</v>
      </c>
      <c r="K28" s="40">
        <v>16.68</v>
      </c>
      <c r="L28" s="40">
        <v>0.63</v>
      </c>
      <c r="M28" s="40">
        <v>1.17</v>
      </c>
      <c r="N28" s="35">
        <v>11.92</v>
      </c>
      <c r="O28" s="40">
        <v>1.1100000000000001</v>
      </c>
      <c r="P28" s="33">
        <v>229.95</v>
      </c>
      <c r="Q28" s="33">
        <v>442.6</v>
      </c>
      <c r="R28" s="35">
        <v>0.83</v>
      </c>
      <c r="S28" s="33"/>
    </row>
    <row r="29" spans="1:19">
      <c r="A29" s="97" t="s">
        <v>565</v>
      </c>
      <c r="C29" s="45" t="s">
        <v>737</v>
      </c>
      <c r="D29" s="35">
        <v>96.8</v>
      </c>
      <c r="E29" s="35">
        <v>17.03</v>
      </c>
      <c r="F29" s="40">
        <v>12.99</v>
      </c>
      <c r="G29" s="35">
        <v>7.46</v>
      </c>
      <c r="H29" s="40">
        <v>3.04</v>
      </c>
      <c r="I29" s="42">
        <f>F29*H29</f>
        <v>39.489600000000003</v>
      </c>
      <c r="J29" s="44">
        <f>F29/(((5.7-3.42)/3.42)*100)</f>
        <v>0.19485</v>
      </c>
      <c r="K29" s="35">
        <v>22.5</v>
      </c>
      <c r="L29" s="40"/>
      <c r="M29" s="40">
        <v>1.45</v>
      </c>
      <c r="N29" s="35">
        <v>15.41</v>
      </c>
      <c r="O29" s="40">
        <v>0.98</v>
      </c>
      <c r="P29" s="33">
        <v>72.5</v>
      </c>
      <c r="Q29" s="35">
        <v>149</v>
      </c>
      <c r="R29" s="33">
        <v>2.06</v>
      </c>
      <c r="S29" s="33"/>
    </row>
    <row r="30" spans="1:19">
      <c r="A30" s="97"/>
    </row>
    <row r="31" spans="1:19" ht="15.6">
      <c r="A31" s="97" t="s">
        <v>565</v>
      </c>
      <c r="B31" s="31" t="s">
        <v>401</v>
      </c>
      <c r="C31" s="33" t="s">
        <v>737</v>
      </c>
      <c r="D31" s="35">
        <v>267</v>
      </c>
      <c r="E31" s="35">
        <v>37.94</v>
      </c>
      <c r="F31" s="35">
        <v>14.04</v>
      </c>
      <c r="G31" s="35">
        <v>19.03</v>
      </c>
      <c r="H31" s="35">
        <v>2.4</v>
      </c>
      <c r="I31" s="42">
        <f>F31*H31</f>
        <v>33.695999999999998</v>
      </c>
      <c r="J31" s="46">
        <f>F31/(((18.43-15.78/15.78)*100))</f>
        <v>8.0550774526678137E-3</v>
      </c>
      <c r="K31" s="35"/>
      <c r="L31" s="35"/>
      <c r="M31" s="35"/>
      <c r="N31" s="35">
        <v>16.5</v>
      </c>
      <c r="O31" s="35"/>
      <c r="P31" s="35">
        <v>147</v>
      </c>
      <c r="Q31" s="35">
        <v>404</v>
      </c>
      <c r="R31" s="35">
        <v>1.01</v>
      </c>
      <c r="S31" s="33"/>
    </row>
    <row r="32" spans="1:19">
      <c r="A32" s="97"/>
    </row>
    <row r="33" spans="1:19">
      <c r="A33" s="97" t="s">
        <v>565</v>
      </c>
      <c r="B33" s="31" t="s">
        <v>402</v>
      </c>
      <c r="C33" s="33" t="s">
        <v>737</v>
      </c>
      <c r="D33" s="47">
        <v>37.76</v>
      </c>
      <c r="E33" s="35">
        <v>17.7</v>
      </c>
      <c r="F33" s="48">
        <v>8.69</v>
      </c>
      <c r="G33" s="35">
        <v>4.34</v>
      </c>
      <c r="H33" s="40">
        <v>0.98</v>
      </c>
      <c r="I33" s="44">
        <f>F33*H33</f>
        <v>8.5161999999999995</v>
      </c>
      <c r="J33" s="40">
        <v>0.43</v>
      </c>
      <c r="K33" s="40">
        <v>16.95</v>
      </c>
      <c r="L33" s="40">
        <v>0.86</v>
      </c>
      <c r="M33" s="40" t="s">
        <v>403</v>
      </c>
      <c r="N33" s="35">
        <v>21.72</v>
      </c>
      <c r="O33" s="35">
        <v>0.54</v>
      </c>
      <c r="P33" s="35"/>
      <c r="Q33" s="35"/>
      <c r="R33" s="35">
        <v>0.4</v>
      </c>
      <c r="S33" s="33"/>
    </row>
    <row r="34" spans="1:19">
      <c r="A34" s="97"/>
    </row>
    <row r="35" spans="1:19">
      <c r="A35" s="97"/>
      <c r="C35" s="34"/>
      <c r="D35" s="35" t="s">
        <v>378</v>
      </c>
      <c r="E35" s="35" t="s">
        <v>404</v>
      </c>
      <c r="F35" s="35" t="s">
        <v>405</v>
      </c>
      <c r="H35" s="31" t="s">
        <v>406</v>
      </c>
      <c r="I35" s="35" t="s">
        <v>407</v>
      </c>
      <c r="J35" s="35" t="s">
        <v>408</v>
      </c>
      <c r="K35" s="35" t="s">
        <v>409</v>
      </c>
      <c r="L35" s="35" t="s">
        <v>410</v>
      </c>
      <c r="M35" s="35" t="s">
        <v>411</v>
      </c>
      <c r="O35" s="33" t="s">
        <v>412</v>
      </c>
      <c r="P35" s="35" t="s">
        <v>413</v>
      </c>
      <c r="Q35" s="33" t="s">
        <v>414</v>
      </c>
    </row>
    <row r="36" spans="1:19" ht="15.6">
      <c r="A36" s="97" t="s">
        <v>565</v>
      </c>
      <c r="B36" s="31" t="s">
        <v>415</v>
      </c>
      <c r="C36" s="37" t="s">
        <v>737</v>
      </c>
      <c r="D36" s="49">
        <v>2044.5</v>
      </c>
      <c r="E36" s="33">
        <v>45000</v>
      </c>
      <c r="F36" s="50">
        <f>E36/D36</f>
        <v>22.010271460014675</v>
      </c>
      <c r="I36" s="51">
        <v>10</v>
      </c>
      <c r="J36" s="33">
        <f>I36*D36</f>
        <v>20445</v>
      </c>
      <c r="K36" s="52">
        <v>15</v>
      </c>
      <c r="L36" s="35">
        <f>I36+K36</f>
        <v>25</v>
      </c>
      <c r="M36" s="35">
        <f t="shared" ref="M36:M42" si="0">L36*D36</f>
        <v>51112.5</v>
      </c>
      <c r="O36" s="33">
        <v>3500</v>
      </c>
      <c r="P36" s="53">
        <f t="shared" ref="P36:P42" si="1">(O36-D36)/D36</f>
        <v>0.71191000244558567</v>
      </c>
      <c r="Q36" s="33"/>
    </row>
    <row r="37" spans="1:19" ht="15.6">
      <c r="A37" s="97" t="s">
        <v>565</v>
      </c>
      <c r="B37" s="31" t="s">
        <v>415</v>
      </c>
      <c r="C37" s="37" t="s">
        <v>737</v>
      </c>
      <c r="D37" s="49">
        <v>444</v>
      </c>
      <c r="E37" s="33">
        <v>25000</v>
      </c>
      <c r="F37" s="50">
        <f>E37/D37</f>
        <v>56.306306306306304</v>
      </c>
      <c r="I37" s="51">
        <v>20</v>
      </c>
      <c r="J37" s="33">
        <f t="shared" ref="J37:J42" si="2">I37*D37</f>
        <v>8880</v>
      </c>
      <c r="K37" s="52">
        <v>30</v>
      </c>
      <c r="L37" s="35">
        <f t="shared" ref="L37:L42" si="3">I37+K37</f>
        <v>50</v>
      </c>
      <c r="M37" s="35">
        <f t="shared" si="0"/>
        <v>22200</v>
      </c>
      <c r="O37" s="33">
        <v>750</v>
      </c>
      <c r="P37" s="53">
        <f t="shared" si="1"/>
        <v>0.68918918918918914</v>
      </c>
      <c r="Q37" s="33"/>
    </row>
    <row r="38" spans="1:19" ht="15.6">
      <c r="A38" s="97" t="s">
        <v>565</v>
      </c>
      <c r="B38" s="31" t="s">
        <v>415</v>
      </c>
      <c r="C38" s="37" t="s">
        <v>737</v>
      </c>
      <c r="D38" s="49">
        <v>290</v>
      </c>
      <c r="E38" s="33">
        <v>25000</v>
      </c>
      <c r="F38" s="50">
        <f t="shared" ref="F38:F42" si="4">E38/D38</f>
        <v>86.206896551724142</v>
      </c>
      <c r="I38" s="51">
        <v>50</v>
      </c>
      <c r="J38" s="33">
        <f t="shared" si="2"/>
        <v>14500</v>
      </c>
      <c r="K38" s="52">
        <v>50</v>
      </c>
      <c r="L38" s="35">
        <f t="shared" si="3"/>
        <v>100</v>
      </c>
      <c r="M38" s="35">
        <f t="shared" si="0"/>
        <v>29000</v>
      </c>
      <c r="O38" s="33">
        <v>335</v>
      </c>
      <c r="P38" s="53">
        <f t="shared" si="1"/>
        <v>0.15517241379310345</v>
      </c>
      <c r="Q38" s="33"/>
    </row>
    <row r="39" spans="1:19" ht="15.6">
      <c r="A39" s="97" t="s">
        <v>565</v>
      </c>
      <c r="B39" s="31" t="s">
        <v>415</v>
      </c>
      <c r="C39" s="37" t="s">
        <v>737</v>
      </c>
      <c r="D39" s="49">
        <v>345</v>
      </c>
      <c r="E39" s="33">
        <v>50000</v>
      </c>
      <c r="F39" s="50">
        <f t="shared" si="4"/>
        <v>144.92753623188406</v>
      </c>
      <c r="I39" s="51">
        <v>70</v>
      </c>
      <c r="J39" s="33">
        <f t="shared" si="2"/>
        <v>24150</v>
      </c>
      <c r="K39" s="52">
        <v>80</v>
      </c>
      <c r="L39" s="35">
        <f t="shared" si="3"/>
        <v>150</v>
      </c>
      <c r="M39" s="35">
        <f t="shared" si="0"/>
        <v>51750</v>
      </c>
      <c r="O39" s="33">
        <v>479</v>
      </c>
      <c r="P39" s="53">
        <f t="shared" si="1"/>
        <v>0.38840579710144929</v>
      </c>
      <c r="Q39" s="33"/>
    </row>
    <row r="40" spans="1:19" ht="15.6">
      <c r="A40" s="97" t="s">
        <v>565</v>
      </c>
      <c r="B40" s="31" t="s">
        <v>415</v>
      </c>
      <c r="C40" s="37" t="s">
        <v>737</v>
      </c>
      <c r="D40" s="49">
        <v>293.25</v>
      </c>
      <c r="E40" s="33">
        <v>25000</v>
      </c>
      <c r="F40" s="50">
        <f t="shared" si="4"/>
        <v>85.251491901108267</v>
      </c>
      <c r="I40" s="51">
        <v>50</v>
      </c>
      <c r="J40" s="33">
        <f t="shared" si="2"/>
        <v>14662.5</v>
      </c>
      <c r="K40" s="52">
        <v>40</v>
      </c>
      <c r="L40" s="35">
        <f t="shared" si="3"/>
        <v>90</v>
      </c>
      <c r="M40" s="35">
        <f t="shared" si="0"/>
        <v>26392.5</v>
      </c>
      <c r="O40" s="33">
        <v>445</v>
      </c>
      <c r="P40" s="53">
        <f t="shared" si="1"/>
        <v>0.51747655583972718</v>
      </c>
      <c r="Q40" s="33"/>
    </row>
    <row r="41" spans="1:19" ht="15.6">
      <c r="A41" s="97" t="s">
        <v>565</v>
      </c>
      <c r="B41" s="31" t="s">
        <v>415</v>
      </c>
      <c r="C41" s="54" t="s">
        <v>737</v>
      </c>
      <c r="D41" s="55">
        <v>104.8</v>
      </c>
      <c r="E41" s="56">
        <v>20000</v>
      </c>
      <c r="F41" s="57">
        <f t="shared" si="4"/>
        <v>190.83969465648855</v>
      </c>
      <c r="I41" s="58">
        <v>80</v>
      </c>
      <c r="J41" s="56">
        <f t="shared" si="2"/>
        <v>8384</v>
      </c>
      <c r="K41" s="59">
        <v>100</v>
      </c>
      <c r="L41" s="36">
        <f t="shared" si="3"/>
        <v>180</v>
      </c>
      <c r="M41" s="36">
        <f t="shared" si="0"/>
        <v>18864</v>
      </c>
      <c r="O41" s="33">
        <v>163</v>
      </c>
      <c r="P41" s="53">
        <f t="shared" si="1"/>
        <v>0.55534351145038174</v>
      </c>
      <c r="Q41" s="33"/>
    </row>
    <row r="42" spans="1:19" ht="15.6">
      <c r="A42" s="97" t="s">
        <v>565</v>
      </c>
      <c r="B42" s="31" t="s">
        <v>416</v>
      </c>
      <c r="C42" s="37" t="s">
        <v>737</v>
      </c>
      <c r="D42" s="60">
        <v>94.85</v>
      </c>
      <c r="E42" s="33">
        <v>20000</v>
      </c>
      <c r="F42" s="50">
        <f t="shared" si="4"/>
        <v>210.85925144965736</v>
      </c>
      <c r="G42" s="33"/>
      <c r="H42" s="33"/>
      <c r="I42" s="61">
        <v>100</v>
      </c>
      <c r="J42" s="33">
        <f t="shared" si="2"/>
        <v>9485</v>
      </c>
      <c r="K42" s="35">
        <v>100</v>
      </c>
      <c r="L42" s="35">
        <f t="shared" si="3"/>
        <v>200</v>
      </c>
      <c r="M42" s="35">
        <f t="shared" si="0"/>
        <v>18970</v>
      </c>
      <c r="O42" s="33">
        <v>160</v>
      </c>
      <c r="P42" s="53">
        <f t="shared" si="1"/>
        <v>0.68687401159725892</v>
      </c>
      <c r="Q42" s="33"/>
    </row>
    <row r="43" spans="1:19" ht="15.6">
      <c r="E43" s="62">
        <f>SUM(E36:E42)</f>
        <v>210000</v>
      </c>
      <c r="F43" s="63">
        <f>SUM(F36:F42)</f>
        <v>796.40144855718324</v>
      </c>
      <c r="I43" s="34"/>
      <c r="J43" s="62">
        <f>SUM(J36:J42)</f>
        <v>100506.5</v>
      </c>
      <c r="K43" s="34"/>
      <c r="L43" s="34"/>
      <c r="M43" s="64">
        <f>SUM(M36:M42)</f>
        <v>218289</v>
      </c>
      <c r="P43" s="65">
        <f>M43*(1+AVERAGE(P36:P42))</f>
        <v>333806.64947242418</v>
      </c>
      <c r="Q43" s="63">
        <f>P43-M43</f>
        <v>115517.64947242418</v>
      </c>
      <c r="R43" s="66">
        <f>Q43/M43</f>
        <v>0.52919592591667097</v>
      </c>
    </row>
    <row r="44" spans="1:19">
      <c r="K44" s="34"/>
    </row>
    <row r="45" spans="1:19">
      <c r="B45" s="33" t="s">
        <v>417</v>
      </c>
      <c r="C45" s="37" t="s">
        <v>737</v>
      </c>
      <c r="D45" s="33">
        <v>11686</v>
      </c>
      <c r="K45" s="34"/>
    </row>
    <row r="46" spans="1:19">
      <c r="B46" s="33" t="s">
        <v>418</v>
      </c>
      <c r="C46" s="37" t="s">
        <v>737</v>
      </c>
      <c r="D46" s="33"/>
      <c r="J46" s="34"/>
    </row>
    <row r="47" spans="1:19">
      <c r="B47" s="33" t="s">
        <v>418</v>
      </c>
      <c r="C47" s="37" t="s">
        <v>737</v>
      </c>
      <c r="D47" s="33"/>
      <c r="J47" s="34"/>
    </row>
    <row r="48" spans="1:19">
      <c r="J48" s="34"/>
    </row>
    <row r="49" spans="2:10">
      <c r="J49" s="34"/>
    </row>
    <row r="50" spans="2:10">
      <c r="J50" s="34"/>
    </row>
    <row r="51" spans="2:10">
      <c r="B51" s="33" t="s">
        <v>374</v>
      </c>
      <c r="C51" s="242">
        <f>(8.69/4.34)/(C54*100)</f>
        <v>0.42561689942076958</v>
      </c>
      <c r="D51" s="243"/>
      <c r="E51" s="243"/>
      <c r="F51" s="243"/>
      <c r="G51" s="244"/>
      <c r="J51" s="34"/>
    </row>
    <row r="52" spans="2:10">
      <c r="B52" s="33" t="s">
        <v>419</v>
      </c>
      <c r="C52" s="245">
        <v>1.4</v>
      </c>
      <c r="D52" s="245">
        <v>1.24</v>
      </c>
      <c r="E52" s="245">
        <v>0.84</v>
      </c>
      <c r="F52" s="245">
        <v>8.8699999999999992</v>
      </c>
      <c r="G52" s="246">
        <v>5.96</v>
      </c>
    </row>
    <row r="53" spans="2:10" ht="15.6">
      <c r="B53" s="33" t="s">
        <v>420</v>
      </c>
      <c r="C53" s="53">
        <f t="shared" ref="C53:F53" si="5">(C52-D52)/D52</f>
        <v>0.12903225806451607</v>
      </c>
      <c r="D53" s="53">
        <f t="shared" si="5"/>
        <v>0.47619047619047622</v>
      </c>
      <c r="E53" s="53">
        <f t="shared" si="5"/>
        <v>-0.90529875986471253</v>
      </c>
      <c r="F53" s="53">
        <f t="shared" si="5"/>
        <v>0.48825503355704686</v>
      </c>
      <c r="G53" s="33"/>
    </row>
    <row r="54" spans="2:10">
      <c r="B54" s="247"/>
      <c r="C54" s="248">
        <f>AVERAGE(C53:F53)</f>
        <v>4.7044751986831654E-2</v>
      </c>
      <c r="D54" s="249"/>
      <c r="E54" s="249"/>
      <c r="F54" s="249"/>
      <c r="G54" s="250"/>
    </row>
    <row r="55" spans="2:10">
      <c r="B55" s="247"/>
      <c r="C55" s="249"/>
      <c r="D55" s="249"/>
      <c r="E55" s="249"/>
      <c r="F55" s="249"/>
      <c r="G55" s="250"/>
    </row>
    <row r="56" spans="2:10">
      <c r="B56" s="247"/>
      <c r="C56" s="245">
        <v>5.17</v>
      </c>
      <c r="D56" s="245">
        <v>3.42</v>
      </c>
      <c r="E56" s="245">
        <v>33.840000000000003</v>
      </c>
      <c r="F56" s="245">
        <v>23.45</v>
      </c>
      <c r="G56" s="246">
        <v>55.55</v>
      </c>
    </row>
    <row r="57" spans="2:10" ht="15.6">
      <c r="B57" s="247"/>
      <c r="C57" s="251">
        <f t="shared" ref="C57:E57" si="6">(C56-D56)/D56</f>
        <v>0.51169590643274854</v>
      </c>
      <c r="D57" s="251">
        <f t="shared" si="6"/>
        <v>-0.89893617021276595</v>
      </c>
      <c r="E57" s="251">
        <f t="shared" si="6"/>
        <v>0.44307036247334775</v>
      </c>
      <c r="F57" s="251">
        <f>(F56-G56)/G56</f>
        <v>-0.57785778577857783</v>
      </c>
      <c r="G57" s="250"/>
    </row>
    <row r="58" spans="2:10">
      <c r="B58" s="252"/>
      <c r="C58" s="253">
        <f>AVERAGE(C57:F57)</f>
        <v>-0.13050692177131187</v>
      </c>
      <c r="D58" s="254"/>
      <c r="E58" s="254"/>
      <c r="F58" s="254"/>
      <c r="G58" s="255"/>
    </row>
  </sheetData>
  <mergeCells count="3">
    <mergeCell ref="I1:K1"/>
    <mergeCell ref="A2:B2"/>
    <mergeCell ref="P6:Q6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BE3D9-B61E-446A-8863-984C8181726A}">
  <dimension ref="C4:K15"/>
  <sheetViews>
    <sheetView workbookViewId="0">
      <selection activeCell="J13" sqref="J13"/>
    </sheetView>
  </sheetViews>
  <sheetFormatPr defaultRowHeight="14.4"/>
  <cols>
    <col min="3" max="3" width="10" bestFit="1" customWidth="1"/>
    <col min="4" max="4" width="12.33203125" bestFit="1" customWidth="1"/>
    <col min="6" max="6" width="9.88671875" bestFit="1" customWidth="1"/>
    <col min="7" max="7" width="13.77734375" bestFit="1" customWidth="1"/>
    <col min="8" max="8" width="16" bestFit="1" customWidth="1"/>
    <col min="9" max="9" width="5.77734375" bestFit="1" customWidth="1"/>
    <col min="10" max="10" width="12.33203125" bestFit="1" customWidth="1"/>
    <col min="11" max="11" width="21.33203125" bestFit="1" customWidth="1"/>
  </cols>
  <sheetData>
    <row r="4" spans="3:11">
      <c r="C4" t="s">
        <v>747</v>
      </c>
      <c r="G4" s="291" t="s">
        <v>748</v>
      </c>
      <c r="H4" s="291"/>
      <c r="I4" s="291"/>
      <c r="J4" s="291"/>
      <c r="K4" s="291"/>
    </row>
    <row r="5" spans="3:11">
      <c r="C5" s="231" t="s">
        <v>749</v>
      </c>
      <c r="D5" s="11" t="s">
        <v>593</v>
      </c>
      <c r="G5" s="292">
        <v>1</v>
      </c>
      <c r="H5" s="292">
        <v>2</v>
      </c>
      <c r="I5" s="292">
        <v>3</v>
      </c>
      <c r="J5" s="292">
        <v>4</v>
      </c>
      <c r="K5" s="292">
        <v>5</v>
      </c>
    </row>
    <row r="6" spans="3:11" ht="18">
      <c r="C6" s="11"/>
      <c r="D6" s="11" t="s">
        <v>596</v>
      </c>
      <c r="G6" s="293" t="s">
        <v>750</v>
      </c>
      <c r="H6" s="293" t="s">
        <v>751</v>
      </c>
      <c r="I6" s="293" t="s">
        <v>752</v>
      </c>
      <c r="J6" s="293" t="s">
        <v>753</v>
      </c>
      <c r="K6" s="293" t="s">
        <v>754</v>
      </c>
    </row>
    <row r="7" spans="3:11">
      <c r="C7" s="11"/>
      <c r="D7" s="11" t="s">
        <v>755</v>
      </c>
      <c r="G7" s="276" t="s">
        <v>756</v>
      </c>
      <c r="H7" s="276" t="s">
        <v>757</v>
      </c>
      <c r="I7" s="276" t="s">
        <v>758</v>
      </c>
      <c r="J7" s="276" t="s">
        <v>759</v>
      </c>
      <c r="K7" s="276" t="s">
        <v>760</v>
      </c>
    </row>
    <row r="8" spans="3:11">
      <c r="C8" s="11"/>
      <c r="D8" s="11" t="s">
        <v>761</v>
      </c>
      <c r="F8" s="151" t="s">
        <v>762</v>
      </c>
      <c r="G8" s="294" t="s">
        <v>763</v>
      </c>
      <c r="H8" s="294" t="s">
        <v>764</v>
      </c>
      <c r="I8" s="294" t="s">
        <v>423</v>
      </c>
      <c r="J8" s="294" t="s">
        <v>765</v>
      </c>
      <c r="K8" s="294" t="s">
        <v>766</v>
      </c>
    </row>
    <row r="9" spans="3:11">
      <c r="F9" s="151" t="s">
        <v>762</v>
      </c>
      <c r="G9" s="294" t="s">
        <v>767</v>
      </c>
      <c r="H9" s="294" t="s">
        <v>768</v>
      </c>
      <c r="I9" s="294" t="s">
        <v>769</v>
      </c>
      <c r="J9" s="294" t="s">
        <v>770</v>
      </c>
      <c r="K9" s="294" t="s">
        <v>771</v>
      </c>
    </row>
    <row r="10" spans="3:11">
      <c r="C10" t="s">
        <v>772</v>
      </c>
      <c r="F10" s="151" t="s">
        <v>418</v>
      </c>
      <c r="G10" s="11"/>
      <c r="H10" s="295" t="s">
        <v>773</v>
      </c>
      <c r="I10" s="11"/>
      <c r="J10" s="11"/>
      <c r="K10" s="11" t="s">
        <v>774</v>
      </c>
    </row>
    <row r="11" spans="3:11">
      <c r="C11" s="231" t="s">
        <v>775</v>
      </c>
      <c r="D11" s="11" t="s">
        <v>636</v>
      </c>
      <c r="G11" s="11"/>
      <c r="H11" s="11" t="s">
        <v>776</v>
      </c>
      <c r="I11" s="11"/>
      <c r="J11" s="11"/>
      <c r="K11" s="11"/>
    </row>
    <row r="12" spans="3:11">
      <c r="C12" s="11"/>
      <c r="D12" s="11" t="s">
        <v>777</v>
      </c>
    </row>
    <row r="13" spans="3:11">
      <c r="C13" s="11"/>
      <c r="D13" s="11" t="s">
        <v>593</v>
      </c>
    </row>
    <row r="14" spans="3:11">
      <c r="C14" s="11"/>
      <c r="D14" s="11" t="s">
        <v>778</v>
      </c>
    </row>
    <row r="15" spans="3:11">
      <c r="C15" s="11"/>
      <c r="D15" s="11" t="s">
        <v>595</v>
      </c>
    </row>
  </sheetData>
  <mergeCells count="1">
    <mergeCell ref="G4:K4"/>
  </mergeCells>
  <hyperlinks>
    <hyperlink ref="H10" location="'Buff Strat'!A1" display="'Buff Strat'!A1" xr:uid="{5FBC3C93-3E2C-419B-AB5F-83732A53232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6CEDB-6011-4BAC-9C76-0A764A1015E9}">
  <dimension ref="A1:AE176"/>
  <sheetViews>
    <sheetView zoomScale="70" zoomScaleNormal="70" workbookViewId="0">
      <selection activeCell="C40" sqref="C40"/>
    </sheetView>
  </sheetViews>
  <sheetFormatPr defaultRowHeight="14.4"/>
  <cols>
    <col min="1" max="1" width="16.109375" bestFit="1" customWidth="1"/>
    <col min="2" max="2" width="17.5546875" bestFit="1" customWidth="1"/>
    <col min="3" max="4" width="10.5546875" customWidth="1"/>
    <col min="5" max="5" width="11.5546875" customWidth="1"/>
    <col min="6" max="6" width="1.21875" customWidth="1"/>
    <col min="7" max="7" width="31.33203125" bestFit="1" customWidth="1"/>
    <col min="8" max="8" width="3.33203125" bestFit="1" customWidth="1"/>
    <col min="9" max="9" width="3.77734375" customWidth="1"/>
    <col min="10" max="10" width="11.88671875" bestFit="1" customWidth="1"/>
    <col min="11" max="11" width="15.77734375" customWidth="1"/>
    <col min="12" max="13" width="9.77734375" customWidth="1"/>
    <col min="14" max="14" width="6.33203125" customWidth="1"/>
    <col min="15" max="15" width="2.6640625" customWidth="1"/>
    <col min="16" max="16" width="14.77734375" bestFit="1" customWidth="1"/>
    <col min="17" max="17" width="20.33203125" bestFit="1" customWidth="1"/>
    <col min="18" max="18" width="12.109375" customWidth="1"/>
    <col min="20" max="20" width="4.44140625" style="1" bestFit="1" customWidth="1"/>
    <col min="21" max="21" width="9.33203125" bestFit="1" customWidth="1"/>
    <col min="22" max="22" width="8.88671875" bestFit="1" customWidth="1"/>
    <col min="23" max="23" width="7.33203125" customWidth="1"/>
    <col min="24" max="24" width="1.77734375" customWidth="1"/>
    <col min="25" max="25" width="15.33203125" customWidth="1"/>
    <col min="26" max="26" width="1.77734375" customWidth="1"/>
    <col min="27" max="27" width="11.5546875" customWidth="1"/>
    <col min="28" max="28" width="3" customWidth="1"/>
    <col min="29" max="29" width="12.44140625" customWidth="1"/>
    <col min="30" max="30" width="3.77734375" customWidth="1"/>
    <col min="31" max="31" width="12.5546875" customWidth="1"/>
  </cols>
  <sheetData>
    <row r="1" spans="1:31">
      <c r="A1" s="103" t="s">
        <v>565</v>
      </c>
      <c r="B1" s="104" t="s">
        <v>727</v>
      </c>
      <c r="C1" s="3">
        <v>44501</v>
      </c>
      <c r="E1" s="102" t="s">
        <v>462</v>
      </c>
    </row>
    <row r="2" spans="1:31">
      <c r="A2" s="140"/>
      <c r="B2" s="140"/>
      <c r="C2" s="140"/>
      <c r="D2" s="140"/>
      <c r="E2" s="140"/>
      <c r="F2" s="140"/>
      <c r="G2" s="140"/>
      <c r="J2" s="141"/>
      <c r="K2" s="141"/>
      <c r="L2" s="141"/>
      <c r="M2" s="141"/>
      <c r="N2" s="141"/>
      <c r="P2" s="142"/>
      <c r="Q2" s="142"/>
      <c r="R2" s="142"/>
      <c r="S2" s="142"/>
      <c r="T2" s="143"/>
      <c r="U2" s="142"/>
      <c r="V2" s="142"/>
      <c r="W2" s="142"/>
      <c r="Y2" s="144"/>
      <c r="Z2" s="144"/>
      <c r="AA2" s="144"/>
      <c r="AB2" s="144"/>
      <c r="AC2" s="144"/>
      <c r="AD2" s="144"/>
      <c r="AE2" s="144"/>
    </row>
    <row r="3" spans="1:31">
      <c r="A3" s="105" t="s">
        <v>31</v>
      </c>
      <c r="B3" s="1" t="s">
        <v>464</v>
      </c>
      <c r="G3" s="1"/>
    </row>
    <row r="4" spans="1:31">
      <c r="B4" s="111" t="s">
        <v>724</v>
      </c>
      <c r="C4" s="111" t="s">
        <v>725</v>
      </c>
      <c r="D4" s="111" t="s">
        <v>455</v>
      </c>
      <c r="E4" s="111" t="s">
        <v>726</v>
      </c>
      <c r="F4" s="101"/>
      <c r="J4" s="105" t="s">
        <v>30</v>
      </c>
      <c r="P4" s="130" t="s">
        <v>475</v>
      </c>
      <c r="T4" s="1" t="s">
        <v>485</v>
      </c>
      <c r="Y4" s="133" t="s">
        <v>491</v>
      </c>
      <c r="AA4" s="139" t="s">
        <v>486</v>
      </c>
      <c r="AB4" s="139"/>
      <c r="AC4" s="139" t="s">
        <v>487</v>
      </c>
      <c r="AD4" s="139"/>
      <c r="AE4" s="139" t="s">
        <v>488</v>
      </c>
    </row>
    <row r="5" spans="1:31">
      <c r="B5" s="11"/>
      <c r="C5" s="11"/>
      <c r="D5" s="11"/>
      <c r="E5" s="11"/>
      <c r="F5" s="71"/>
      <c r="K5" s="286" t="s">
        <v>466</v>
      </c>
      <c r="L5" s="287"/>
      <c r="M5" s="110" t="s">
        <v>472</v>
      </c>
      <c r="Q5" s="131" t="s">
        <v>730</v>
      </c>
      <c r="R5" s="11">
        <v>10000</v>
      </c>
      <c r="S5" t="s">
        <v>489</v>
      </c>
    </row>
    <row r="6" spans="1:31">
      <c r="B6" s="11"/>
      <c r="C6" s="11"/>
      <c r="D6" s="11"/>
      <c r="E6" s="11"/>
      <c r="F6" s="71"/>
      <c r="J6" s="115" t="s">
        <v>466</v>
      </c>
      <c r="K6" s="112" t="s">
        <v>728</v>
      </c>
      <c r="L6" s="10" t="s">
        <v>729</v>
      </c>
      <c r="M6" s="10" t="s">
        <v>555</v>
      </c>
      <c r="Q6" s="131" t="s">
        <v>731</v>
      </c>
      <c r="R6" s="11">
        <v>10000</v>
      </c>
      <c r="S6" t="s">
        <v>489</v>
      </c>
    </row>
    <row r="7" spans="1:31">
      <c r="B7" s="11"/>
      <c r="C7" s="11"/>
      <c r="D7" s="11"/>
      <c r="E7" s="11"/>
      <c r="F7" s="71"/>
      <c r="J7" s="113" t="s">
        <v>473</v>
      </c>
      <c r="K7" s="11"/>
      <c r="L7" s="11"/>
      <c r="M7" s="10" t="s">
        <v>564</v>
      </c>
      <c r="Q7" s="131" t="s">
        <v>732</v>
      </c>
      <c r="R7" s="11">
        <v>0</v>
      </c>
      <c r="S7" t="s">
        <v>489</v>
      </c>
    </row>
    <row r="8" spans="1:31">
      <c r="B8" s="11"/>
      <c r="C8" s="11"/>
      <c r="D8" s="11"/>
      <c r="E8" s="11"/>
      <c r="F8" s="71"/>
    </row>
    <row r="9" spans="1:31">
      <c r="B9" s="11"/>
      <c r="C9" s="11"/>
      <c r="D9" s="98"/>
      <c r="E9" s="11"/>
      <c r="F9" s="71"/>
      <c r="Q9" s="106" t="s">
        <v>477</v>
      </c>
      <c r="R9" s="11">
        <f>SUM(R5:R7)</f>
        <v>20000</v>
      </c>
      <c r="S9" t="s">
        <v>489</v>
      </c>
      <c r="AA9" s="134">
        <v>0</v>
      </c>
      <c r="AC9" s="134">
        <v>0</v>
      </c>
      <c r="AE9" s="134">
        <v>0</v>
      </c>
    </row>
    <row r="10" spans="1:31">
      <c r="A10" s="106" t="s">
        <v>463</v>
      </c>
      <c r="B10" s="1">
        <v>5</v>
      </c>
      <c r="C10" s="1">
        <v>22</v>
      </c>
      <c r="D10" s="1">
        <v>30</v>
      </c>
      <c r="E10" s="1">
        <v>9</v>
      </c>
      <c r="F10" s="1"/>
      <c r="G10" s="99">
        <f>SUM(B10:E10)</f>
        <v>66</v>
      </c>
    </row>
    <row r="11" spans="1:31">
      <c r="A11" s="106" t="s">
        <v>456</v>
      </c>
      <c r="B11" s="10">
        <v>5</v>
      </c>
      <c r="C11" s="285">
        <v>26</v>
      </c>
      <c r="D11" s="285"/>
      <c r="E11" s="10">
        <v>9</v>
      </c>
      <c r="F11" s="100"/>
      <c r="G11" s="69">
        <f>SUM(B11:E11)</f>
        <v>40</v>
      </c>
      <c r="Q11" s="106" t="s">
        <v>476</v>
      </c>
      <c r="R11" s="11">
        <v>10000000</v>
      </c>
      <c r="AA11" s="134">
        <v>3020090</v>
      </c>
      <c r="AC11" s="134">
        <f>17500000+12000000+7000000</f>
        <v>36500000</v>
      </c>
      <c r="AE11" s="134">
        <v>800000</v>
      </c>
    </row>
    <row r="12" spans="1:31">
      <c r="A12" s="68"/>
    </row>
    <row r="13" spans="1:31">
      <c r="A13" s="106" t="s">
        <v>457</v>
      </c>
      <c r="G13" s="11">
        <v>2500000</v>
      </c>
      <c r="J13" s="107" t="s">
        <v>457</v>
      </c>
      <c r="L13" s="11">
        <v>700000</v>
      </c>
      <c r="Q13" s="106" t="s">
        <v>478</v>
      </c>
      <c r="R13" s="11">
        <v>10</v>
      </c>
      <c r="S13" t="s">
        <v>465</v>
      </c>
      <c r="T13" s="1">
        <v>22</v>
      </c>
      <c r="AA13" s="134">
        <v>10</v>
      </c>
      <c r="AC13" s="134">
        <v>10</v>
      </c>
      <c r="AE13" s="134">
        <v>10</v>
      </c>
    </row>
    <row r="14" spans="1:31">
      <c r="A14" s="68"/>
    </row>
    <row r="15" spans="1:31">
      <c r="A15" s="106" t="s">
        <v>458</v>
      </c>
      <c r="G15" s="81">
        <f>MROUND(G13/G11, 1000)</f>
        <v>63000</v>
      </c>
      <c r="J15" s="114" t="s">
        <v>451</v>
      </c>
      <c r="L15" s="11">
        <f>L13*65%</f>
        <v>455000</v>
      </c>
      <c r="Q15" s="106" t="s">
        <v>480</v>
      </c>
      <c r="R15" s="70">
        <v>0.12</v>
      </c>
      <c r="S15" t="s">
        <v>490</v>
      </c>
      <c r="AA15" s="135">
        <v>0.15</v>
      </c>
      <c r="AC15" s="136">
        <f>((17500000-7200000)/7200000)/12</f>
        <v>0.11921296296296297</v>
      </c>
      <c r="AE15" s="136">
        <v>0.25</v>
      </c>
    </row>
    <row r="16" spans="1:31">
      <c r="A16" s="68"/>
    </row>
    <row r="17" spans="1:31">
      <c r="A17" s="106" t="s">
        <v>459</v>
      </c>
      <c r="G17" s="11">
        <v>10</v>
      </c>
      <c r="H17" t="s">
        <v>465</v>
      </c>
      <c r="J17" s="116" t="s">
        <v>466</v>
      </c>
      <c r="L17" s="11">
        <f>L13-L15</f>
        <v>245000</v>
      </c>
      <c r="Q17" s="106" t="s">
        <v>481</v>
      </c>
      <c r="R17" s="127" t="s">
        <v>479</v>
      </c>
    </row>
    <row r="18" spans="1:31">
      <c r="A18" s="68"/>
    </row>
    <row r="19" spans="1:31">
      <c r="A19" s="106" t="s">
        <v>460</v>
      </c>
      <c r="G19" s="70">
        <v>0.18</v>
      </c>
      <c r="J19" s="107" t="s">
        <v>467</v>
      </c>
      <c r="L19" s="108">
        <f>M19/(L13)</f>
        <v>0.13500000000000001</v>
      </c>
      <c r="M19">
        <f>(L15*L20)+(L17*L21*4)</f>
        <v>94500</v>
      </c>
      <c r="N19" t="s">
        <v>469</v>
      </c>
      <c r="Q19" s="106" t="s">
        <v>459</v>
      </c>
      <c r="R19" s="128">
        <v>30</v>
      </c>
      <c r="S19" t="s">
        <v>465</v>
      </c>
      <c r="AA19" s="134">
        <v>30</v>
      </c>
      <c r="AC19" s="134">
        <v>30</v>
      </c>
      <c r="AE19" s="134">
        <v>30</v>
      </c>
    </row>
    <row r="20" spans="1:31">
      <c r="A20" s="68"/>
      <c r="K20" s="109" t="s">
        <v>468</v>
      </c>
      <c r="L20" s="70">
        <v>0.1</v>
      </c>
      <c r="M20" t="s">
        <v>469</v>
      </c>
    </row>
    <row r="21" spans="1:31">
      <c r="A21" s="106" t="s">
        <v>461</v>
      </c>
      <c r="G21" s="129">
        <f>G13*(1+G19)*G17</f>
        <v>29500000</v>
      </c>
      <c r="K21" s="109" t="s">
        <v>466</v>
      </c>
      <c r="L21" s="70">
        <v>0.05</v>
      </c>
      <c r="M21" t="s">
        <v>470</v>
      </c>
      <c r="Q21" s="106" t="s">
        <v>461</v>
      </c>
      <c r="R21" s="129">
        <f>FV((R15/12),R13*12,R9,-R11)</f>
        <v>28403095.156589359</v>
      </c>
      <c r="S21" t="str">
        <f>R17</f>
        <v>July 2031</v>
      </c>
      <c r="T21" s="1">
        <f>T13+10</f>
        <v>32</v>
      </c>
      <c r="X21" s="124"/>
      <c r="Y21" s="145">
        <f>R21+AA21+AC21+AE21</f>
        <v>170840819.58234599</v>
      </c>
      <c r="AA21" s="257">
        <f>FV((AA15/12),AA13*12,AA9,-AA11)</f>
        <v>13409843.570587104</v>
      </c>
      <c r="AB21" s="138"/>
      <c r="AC21" s="257">
        <f>FV((AC15/12),AC13*12,AC9,-AC11)</f>
        <v>119529029.19888715</v>
      </c>
      <c r="AD21" s="138"/>
      <c r="AE21" s="257">
        <f>FV((AE15/12),AE13*12,AE9,-AE11)</f>
        <v>9498851.6562823579</v>
      </c>
    </row>
    <row r="22" spans="1:31">
      <c r="A22" s="68"/>
      <c r="Y22" s="146">
        <f>Y21/75</f>
        <v>2277877.5944312797</v>
      </c>
      <c r="AA22" s="138"/>
      <c r="AB22" s="138"/>
      <c r="AC22" s="138"/>
      <c r="AD22" s="138"/>
      <c r="AE22" s="138"/>
    </row>
    <row r="23" spans="1:31">
      <c r="A23" s="189"/>
      <c r="B23" s="117"/>
      <c r="C23" s="117"/>
      <c r="D23" s="117"/>
      <c r="E23" s="117"/>
      <c r="F23" s="117"/>
      <c r="G23" s="277"/>
      <c r="J23" s="107" t="s">
        <v>471</v>
      </c>
      <c r="L23" s="80">
        <f>M23/L13</f>
        <v>1.62</v>
      </c>
      <c r="M23">
        <f>M19*12</f>
        <v>1134000</v>
      </c>
      <c r="P23" t="s">
        <v>492</v>
      </c>
      <c r="Q23" s="106" t="s">
        <v>483</v>
      </c>
      <c r="R23" s="129">
        <f>FV((R15-W23)/12,R13*12,0,-R21)</f>
        <v>40487596.007351629</v>
      </c>
      <c r="S23" s="126" t="s">
        <v>482</v>
      </c>
      <c r="T23" s="132">
        <f>T21+10</f>
        <v>42</v>
      </c>
      <c r="U23" s="137" t="s">
        <v>484</v>
      </c>
      <c r="V23">
        <f>200000*12</f>
        <v>2400000</v>
      </c>
      <c r="W23" s="124">
        <f>V23/R21</f>
        <v>8.4497833308959408E-2</v>
      </c>
      <c r="X23" s="124"/>
      <c r="Y23" s="145">
        <f>R23+AA23+AC23+AE23</f>
        <v>604245220.0311377</v>
      </c>
      <c r="AA23" s="257">
        <f>FV((AA15)/12,AA13*12,0,-AA21)</f>
        <v>59542564.820126653</v>
      </c>
      <c r="AB23" s="138"/>
      <c r="AC23" s="257">
        <f>FV((AC15)/12,AC13*12,0,-AC21)</f>
        <v>391429830.7185868</v>
      </c>
      <c r="AD23" s="138"/>
      <c r="AE23" s="257">
        <f>FV((AE15)/12,AE13*12,0,-AE21)</f>
        <v>112785228.48507261</v>
      </c>
    </row>
    <row r="24" spans="1:31">
      <c r="U24" s="138"/>
      <c r="Y24" s="146">
        <f>Y23/75</f>
        <v>8056602.9337485023</v>
      </c>
      <c r="AA24" s="138"/>
      <c r="AB24" s="138"/>
      <c r="AC24" s="138"/>
      <c r="AD24" s="138"/>
      <c r="AE24" s="138"/>
    </row>
    <row r="25" spans="1:31">
      <c r="P25" t="s">
        <v>493</v>
      </c>
      <c r="Q25" s="106" t="s">
        <v>483</v>
      </c>
      <c r="R25" s="129">
        <f>FV((R15-W23)/12,R15*12,0,-R23)</f>
        <v>40660195.898894548</v>
      </c>
      <c r="S25" s="126" t="s">
        <v>494</v>
      </c>
      <c r="T25" s="132">
        <f>T23+10</f>
        <v>52</v>
      </c>
      <c r="U25" s="137" t="s">
        <v>484</v>
      </c>
      <c r="V25">
        <f>300000*12</f>
        <v>3600000</v>
      </c>
      <c r="W25" s="124">
        <f>V25/R21</f>
        <v>0.12674674996343913</v>
      </c>
      <c r="Y25" s="145">
        <f>R25+AA25+AC25+AE25</f>
        <v>618535943.05127859</v>
      </c>
      <c r="AA25" s="257">
        <f>FV((AA15)/12,AA15*12,0,-AA23)</f>
        <v>60888965.505824871</v>
      </c>
      <c r="AB25" s="138"/>
      <c r="AC25" s="257">
        <f>FV((AC15)/12,AC15*12,0,-AC23)</f>
        <v>397004600.78320283</v>
      </c>
      <c r="AD25" s="138"/>
      <c r="AE25" s="257">
        <f>FV((AE15)/12,AE15*12,0,-AE23)</f>
        <v>119982180.86335632</v>
      </c>
    </row>
    <row r="26" spans="1:31">
      <c r="Y26" s="146">
        <f>Y25/75</f>
        <v>8247145.9073503809</v>
      </c>
    </row>
    <row r="27" spans="1:31">
      <c r="A27" s="11" t="s">
        <v>456</v>
      </c>
      <c r="B27" s="152">
        <v>5</v>
      </c>
      <c r="C27" s="152">
        <v>22</v>
      </c>
      <c r="D27" s="152">
        <v>16</v>
      </c>
      <c r="E27" s="152">
        <v>9</v>
      </c>
      <c r="F27" s="11"/>
      <c r="G27" s="11"/>
      <c r="J27" s="170" t="s">
        <v>539</v>
      </c>
      <c r="K27" s="170" t="s">
        <v>509</v>
      </c>
      <c r="L27" s="170" t="s">
        <v>541</v>
      </c>
      <c r="M27" s="170" t="s">
        <v>542</v>
      </c>
    </row>
    <row r="28" spans="1:31">
      <c r="A28" s="11" t="s">
        <v>521</v>
      </c>
      <c r="B28" s="152">
        <v>50000</v>
      </c>
      <c r="C28" s="152">
        <v>50000</v>
      </c>
      <c r="D28" s="152">
        <v>60000</v>
      </c>
      <c r="E28" s="152">
        <v>30000</v>
      </c>
      <c r="F28" s="11"/>
      <c r="G28" s="11"/>
      <c r="J28" s="11">
        <v>1</v>
      </c>
      <c r="K28" s="11" t="s">
        <v>540</v>
      </c>
      <c r="L28" s="169" t="s">
        <v>543</v>
      </c>
      <c r="M28" s="169" t="s">
        <v>544</v>
      </c>
    </row>
    <row r="29" spans="1:31">
      <c r="A29" s="11" t="s">
        <v>522</v>
      </c>
      <c r="B29" s="152">
        <f>B27*B28</f>
        <v>250000</v>
      </c>
      <c r="C29" s="152">
        <f t="shared" ref="C29:E29" si="0">C27*C28</f>
        <v>1100000</v>
      </c>
      <c r="D29" s="152">
        <f t="shared" si="0"/>
        <v>960000</v>
      </c>
      <c r="E29" s="152">
        <f t="shared" si="0"/>
        <v>270000</v>
      </c>
      <c r="F29" s="11"/>
      <c r="G29" s="152">
        <f>SUM(B29:F29)</f>
        <v>2580000</v>
      </c>
      <c r="J29" s="11">
        <v>2</v>
      </c>
      <c r="K29" s="11" t="s">
        <v>545</v>
      </c>
      <c r="L29" s="181">
        <v>-0.05</v>
      </c>
      <c r="M29" s="182">
        <v>-0.1</v>
      </c>
    </row>
    <row r="30" spans="1:31">
      <c r="A30" s="11" t="s">
        <v>523</v>
      </c>
      <c r="B30" s="152"/>
      <c r="C30" s="152">
        <v>25000</v>
      </c>
      <c r="D30" s="152">
        <v>1645616</v>
      </c>
      <c r="E30" s="152">
        <v>140344</v>
      </c>
      <c r="F30" s="11"/>
      <c r="G30" s="152">
        <f>SUM(B30:F30)</f>
        <v>1810960</v>
      </c>
    </row>
    <row r="31" spans="1:31">
      <c r="A31" s="167" t="s">
        <v>565</v>
      </c>
      <c r="B31" s="168">
        <f t="shared" ref="B31:C31" si="1">B29-B30</f>
        <v>250000</v>
      </c>
      <c r="C31" s="168">
        <f t="shared" si="1"/>
        <v>1075000</v>
      </c>
      <c r="D31" s="168">
        <f>D29-D30</f>
        <v>-685616</v>
      </c>
      <c r="E31" s="168">
        <f t="shared" ref="E31:G31" si="2">E29-E30</f>
        <v>129656</v>
      </c>
      <c r="F31" s="168">
        <f t="shared" si="2"/>
        <v>0</v>
      </c>
      <c r="G31" s="168">
        <f t="shared" si="2"/>
        <v>769040</v>
      </c>
      <c r="J31" s="170" t="s">
        <v>539</v>
      </c>
      <c r="K31" s="170" t="s">
        <v>563</v>
      </c>
      <c r="L31" s="170" t="s">
        <v>556</v>
      </c>
      <c r="M31" s="170" t="s">
        <v>557</v>
      </c>
      <c r="R31" s="76"/>
    </row>
    <row r="32" spans="1:31">
      <c r="A32" t="s">
        <v>500</v>
      </c>
      <c r="J32" s="11">
        <v>1</v>
      </c>
      <c r="K32" t="s">
        <v>560</v>
      </c>
      <c r="L32" s="11" t="s">
        <v>561</v>
      </c>
      <c r="M32" s="11" t="s">
        <v>562</v>
      </c>
      <c r="R32" s="76"/>
    </row>
    <row r="33" spans="1:18">
      <c r="A33">
        <v>1</v>
      </c>
      <c r="B33" s="68" t="s">
        <v>495</v>
      </c>
      <c r="C33" t="s">
        <v>741</v>
      </c>
      <c r="G33" s="68">
        <v>10000</v>
      </c>
      <c r="J33" s="11">
        <v>2</v>
      </c>
      <c r="K33" s="11" t="s">
        <v>558</v>
      </c>
      <c r="L33" s="181">
        <v>1</v>
      </c>
      <c r="M33" s="181">
        <v>2</v>
      </c>
      <c r="R33" s="3"/>
    </row>
    <row r="34" spans="1:18">
      <c r="A34">
        <v>2</v>
      </c>
      <c r="B34" s="68" t="s">
        <v>496</v>
      </c>
      <c r="C34" t="s">
        <v>731</v>
      </c>
      <c r="G34" s="68">
        <v>5000</v>
      </c>
      <c r="J34" s="11">
        <v>3</v>
      </c>
      <c r="K34" s="11" t="s">
        <v>545</v>
      </c>
      <c r="L34" s="181" t="s">
        <v>559</v>
      </c>
      <c r="M34" s="182" t="s">
        <v>559</v>
      </c>
    </row>
    <row r="35" spans="1:18">
      <c r="A35">
        <v>3</v>
      </c>
      <c r="B35" s="68" t="s">
        <v>496</v>
      </c>
      <c r="C35" t="s">
        <v>742</v>
      </c>
      <c r="G35" s="67">
        <v>5000</v>
      </c>
    </row>
    <row r="36" spans="1:18">
      <c r="A36">
        <v>4</v>
      </c>
      <c r="B36" s="68" t="s">
        <v>497</v>
      </c>
      <c r="C36" t="s">
        <v>743</v>
      </c>
      <c r="G36" s="67">
        <v>10000</v>
      </c>
      <c r="Q36" s="6"/>
    </row>
    <row r="37" spans="1:18">
      <c r="A37">
        <v>5</v>
      </c>
      <c r="B37" s="68" t="s">
        <v>497</v>
      </c>
      <c r="C37" t="s">
        <v>744</v>
      </c>
      <c r="G37" s="68">
        <v>10000</v>
      </c>
    </row>
    <row r="38" spans="1:18">
      <c r="A38">
        <v>6</v>
      </c>
      <c r="B38" s="68" t="s">
        <v>498</v>
      </c>
      <c r="C38" t="s">
        <v>745</v>
      </c>
      <c r="G38" s="67">
        <v>5000</v>
      </c>
    </row>
    <row r="39" spans="1:18">
      <c r="A39">
        <v>7</v>
      </c>
      <c r="B39" s="68" t="s">
        <v>499</v>
      </c>
      <c r="C39" t="s">
        <v>746</v>
      </c>
      <c r="G39" s="67">
        <v>5000</v>
      </c>
    </row>
    <row r="40" spans="1:18" ht="15" thickBot="1">
      <c r="G40" s="147">
        <f>SUM(G33:G39)</f>
        <v>50000</v>
      </c>
    </row>
    <row r="41" spans="1:18" ht="15.6" thickTop="1" thickBot="1"/>
    <row r="42" spans="1:18">
      <c r="A42" s="154"/>
      <c r="B42" s="155"/>
      <c r="C42" s="155"/>
      <c r="D42" s="155"/>
      <c r="E42" s="155"/>
      <c r="F42" s="155"/>
      <c r="G42" s="156"/>
    </row>
    <row r="43" spans="1:18">
      <c r="A43" s="164" t="s">
        <v>510</v>
      </c>
      <c r="B43" s="71"/>
      <c r="C43" s="152" t="s">
        <v>511</v>
      </c>
      <c r="D43" s="152" t="s">
        <v>512</v>
      </c>
      <c r="E43" s="152" t="s">
        <v>513</v>
      </c>
      <c r="F43" s="71"/>
      <c r="G43" s="158"/>
    </row>
    <row r="44" spans="1:18">
      <c r="A44" s="157" t="s">
        <v>518</v>
      </c>
      <c r="B44" s="71"/>
      <c r="C44" s="152">
        <v>11700000</v>
      </c>
      <c r="D44" s="152">
        <v>2200000</v>
      </c>
      <c r="E44" s="152">
        <v>1100000</v>
      </c>
      <c r="F44" s="71"/>
      <c r="G44" s="158"/>
    </row>
    <row r="45" spans="1:18">
      <c r="A45" s="159"/>
      <c r="B45" s="71"/>
      <c r="C45" s="11"/>
      <c r="D45" s="11"/>
      <c r="E45" s="11"/>
      <c r="F45" s="71"/>
      <c r="G45" s="158"/>
    </row>
    <row r="46" spans="1:18">
      <c r="A46" s="159"/>
      <c r="B46" s="71"/>
      <c r="C46" s="11"/>
      <c r="D46" s="11"/>
      <c r="E46" s="11"/>
      <c r="F46" s="71"/>
      <c r="G46" s="158"/>
    </row>
    <row r="47" spans="1:18">
      <c r="A47" s="159"/>
      <c r="B47" s="100" t="s">
        <v>514</v>
      </c>
      <c r="C47" s="153">
        <v>5.0000000000000001E-3</v>
      </c>
      <c r="D47" s="11"/>
      <c r="E47" s="148">
        <v>0.1</v>
      </c>
      <c r="F47" s="71"/>
      <c r="G47" s="158"/>
      <c r="H47" s="124"/>
    </row>
    <row r="48" spans="1:18">
      <c r="A48" s="159"/>
      <c r="B48" s="100" t="s">
        <v>515</v>
      </c>
      <c r="C48" s="11">
        <f>C47*C44</f>
        <v>58500</v>
      </c>
      <c r="D48" s="11"/>
      <c r="E48" s="11">
        <f>E47*E44</f>
        <v>110000</v>
      </c>
      <c r="F48" s="71" t="s">
        <v>516</v>
      </c>
      <c r="G48" s="158"/>
    </row>
    <row r="49" spans="1:7">
      <c r="A49" s="159"/>
      <c r="B49" s="100"/>
      <c r="C49" s="11"/>
      <c r="D49" s="11"/>
      <c r="E49" s="11"/>
      <c r="F49" s="71"/>
      <c r="G49" s="158"/>
    </row>
    <row r="50" spans="1:7">
      <c r="A50" s="159"/>
      <c r="B50" s="100" t="s">
        <v>517</v>
      </c>
      <c r="C50" s="11">
        <v>20000</v>
      </c>
      <c r="D50" s="11">
        <v>50000</v>
      </c>
      <c r="E50" s="11"/>
      <c r="F50" s="71"/>
      <c r="G50" s="158"/>
    </row>
    <row r="51" spans="1:7">
      <c r="A51" s="159"/>
      <c r="B51" s="71"/>
      <c r="C51" s="79">
        <f>C50/C44</f>
        <v>1.7094017094017094E-3</v>
      </c>
      <c r="D51" s="79">
        <f>D50/D44</f>
        <v>2.2727272727272728E-2</v>
      </c>
      <c r="E51" s="11"/>
      <c r="F51" s="71"/>
      <c r="G51" s="158"/>
    </row>
    <row r="52" spans="1:7">
      <c r="A52" s="159"/>
      <c r="B52" s="71"/>
      <c r="C52" s="71"/>
      <c r="D52" s="71"/>
      <c r="E52" s="71"/>
      <c r="F52" s="71"/>
      <c r="G52" s="158"/>
    </row>
    <row r="53" spans="1:7">
      <c r="A53" s="159"/>
      <c r="B53" s="71" t="s">
        <v>519</v>
      </c>
      <c r="C53" s="160">
        <v>0.12</v>
      </c>
      <c r="D53" s="160">
        <v>0.15</v>
      </c>
      <c r="E53" s="71"/>
      <c r="F53" s="71"/>
      <c r="G53" s="158"/>
    </row>
    <row r="54" spans="1:7">
      <c r="A54" s="159"/>
      <c r="B54" s="71" t="s">
        <v>520</v>
      </c>
      <c r="C54" s="71">
        <f>C44*((C53+(C51*12))-(C47*12))</f>
        <v>942000.00000000012</v>
      </c>
      <c r="D54" s="71">
        <f>D44*(D53+(D51*12))</f>
        <v>930000</v>
      </c>
      <c r="E54" s="71"/>
      <c r="F54" s="71"/>
      <c r="G54" s="158"/>
    </row>
    <row r="55" spans="1:7" ht="15" thickBot="1">
      <c r="A55" s="161"/>
      <c r="B55" s="162"/>
      <c r="C55" s="162"/>
      <c r="D55" s="162"/>
      <c r="E55" s="162"/>
      <c r="F55" s="162"/>
      <c r="G55" s="163"/>
    </row>
    <row r="57" spans="1:7" ht="18">
      <c r="A57" s="205" t="s">
        <v>599</v>
      </c>
    </row>
    <row r="58" spans="1:7">
      <c r="B58" s="68" t="s">
        <v>598</v>
      </c>
    </row>
    <row r="59" spans="1:7">
      <c r="A59" s="68" t="s">
        <v>592</v>
      </c>
    </row>
    <row r="60" spans="1:7">
      <c r="B60" t="s">
        <v>593</v>
      </c>
    </row>
    <row r="61" spans="1:7">
      <c r="B61" t="s">
        <v>594</v>
      </c>
    </row>
    <row r="62" spans="1:7">
      <c r="B62" t="s">
        <v>595</v>
      </c>
    </row>
    <row r="63" spans="1:7">
      <c r="B63" t="s">
        <v>596</v>
      </c>
    </row>
    <row r="65" spans="1:3">
      <c r="A65" s="68" t="s">
        <v>597</v>
      </c>
      <c r="B65" s="206" t="s">
        <v>422</v>
      </c>
    </row>
    <row r="66" spans="1:3">
      <c r="A66">
        <v>1</v>
      </c>
      <c r="B66" t="s">
        <v>600</v>
      </c>
    </row>
    <row r="67" spans="1:3">
      <c r="A67">
        <v>2</v>
      </c>
      <c r="B67" t="s">
        <v>615</v>
      </c>
      <c r="C67" t="s">
        <v>603</v>
      </c>
    </row>
    <row r="68" spans="1:3">
      <c r="A68">
        <v>3</v>
      </c>
      <c r="B68" t="s">
        <v>602</v>
      </c>
      <c r="C68" t="s">
        <v>601</v>
      </c>
    </row>
    <row r="69" spans="1:3">
      <c r="C69" t="s">
        <v>613</v>
      </c>
    </row>
    <row r="70" spans="1:3">
      <c r="A70">
        <v>4</v>
      </c>
      <c r="B70" t="s">
        <v>595</v>
      </c>
      <c r="C70" t="s">
        <v>604</v>
      </c>
    </row>
    <row r="71" spans="1:3">
      <c r="C71" t="s">
        <v>605</v>
      </c>
    </row>
    <row r="72" spans="1:3">
      <c r="C72" t="s">
        <v>606</v>
      </c>
    </row>
    <row r="73" spans="1:3">
      <c r="A73">
        <v>5</v>
      </c>
      <c r="B73" t="s">
        <v>607</v>
      </c>
      <c r="C73" t="s">
        <v>620</v>
      </c>
    </row>
    <row r="74" spans="1:3">
      <c r="C74" t="s">
        <v>608</v>
      </c>
    </row>
    <row r="75" spans="1:3">
      <c r="A75">
        <v>6</v>
      </c>
      <c r="B75" t="s">
        <v>567</v>
      </c>
      <c r="C75" t="s">
        <v>609</v>
      </c>
    </row>
    <row r="76" spans="1:3">
      <c r="A76">
        <v>7</v>
      </c>
      <c r="B76" t="s">
        <v>424</v>
      </c>
      <c r="C76" t="s">
        <v>610</v>
      </c>
    </row>
    <row r="77" spans="1:3">
      <c r="A77">
        <v>8</v>
      </c>
      <c r="B77" t="s">
        <v>611</v>
      </c>
      <c r="C77" t="s">
        <v>612</v>
      </c>
    </row>
    <row r="80" spans="1:3">
      <c r="B80" s="206" t="s">
        <v>614</v>
      </c>
    </row>
    <row r="81" spans="1:3">
      <c r="A81">
        <v>1</v>
      </c>
      <c r="B81" t="s">
        <v>600</v>
      </c>
    </row>
    <row r="82" spans="1:3">
      <c r="A82">
        <v>2</v>
      </c>
      <c r="B82" t="s">
        <v>615</v>
      </c>
      <c r="C82" t="s">
        <v>603</v>
      </c>
    </row>
    <row r="83" spans="1:3">
      <c r="A83">
        <v>3</v>
      </c>
      <c r="B83" t="s">
        <v>602</v>
      </c>
      <c r="C83" t="s">
        <v>601</v>
      </c>
    </row>
    <row r="84" spans="1:3">
      <c r="C84" t="s">
        <v>616</v>
      </c>
    </row>
    <row r="85" spans="1:3">
      <c r="A85">
        <v>4</v>
      </c>
      <c r="B85" t="s">
        <v>595</v>
      </c>
      <c r="C85" t="s">
        <v>617</v>
      </c>
    </row>
    <row r="86" spans="1:3">
      <c r="C86" t="s">
        <v>605</v>
      </c>
    </row>
    <row r="87" spans="1:3">
      <c r="C87" t="s">
        <v>618</v>
      </c>
    </row>
    <row r="88" spans="1:3">
      <c r="A88">
        <v>5</v>
      </c>
      <c r="B88" t="s">
        <v>607</v>
      </c>
      <c r="C88" t="s">
        <v>619</v>
      </c>
    </row>
    <row r="89" spans="1:3">
      <c r="C89" t="s">
        <v>608</v>
      </c>
    </row>
    <row r="90" spans="1:3">
      <c r="A90">
        <v>6</v>
      </c>
      <c r="B90" t="s">
        <v>567</v>
      </c>
      <c r="C90" t="s">
        <v>609</v>
      </c>
    </row>
    <row r="91" spans="1:3">
      <c r="A91">
        <v>7</v>
      </c>
      <c r="B91" t="s">
        <v>424</v>
      </c>
      <c r="C91" t="s">
        <v>610</v>
      </c>
    </row>
    <row r="92" spans="1:3">
      <c r="A92">
        <v>8</v>
      </c>
      <c r="B92" t="s">
        <v>611</v>
      </c>
      <c r="C92" t="s">
        <v>612</v>
      </c>
    </row>
    <row r="96" spans="1:3">
      <c r="B96" s="206" t="s">
        <v>621</v>
      </c>
    </row>
    <row r="97" spans="1:7">
      <c r="A97" t="s">
        <v>626</v>
      </c>
      <c r="B97" s="207" t="s">
        <v>555</v>
      </c>
    </row>
    <row r="98" spans="1:7">
      <c r="B98" s="207"/>
    </row>
    <row r="99" spans="1:7">
      <c r="A99" t="s">
        <v>634</v>
      </c>
      <c r="B99" s="68" t="s">
        <v>657</v>
      </c>
      <c r="C99" t="s">
        <v>593</v>
      </c>
      <c r="E99" t="s">
        <v>646</v>
      </c>
      <c r="G99" t="s">
        <v>637</v>
      </c>
    </row>
    <row r="100" spans="1:7">
      <c r="C100" t="s">
        <v>633</v>
      </c>
      <c r="E100" t="s">
        <v>423</v>
      </c>
      <c r="G100" t="s">
        <v>639</v>
      </c>
    </row>
    <row r="101" spans="1:7">
      <c r="C101" t="s">
        <v>595</v>
      </c>
      <c r="E101" t="s">
        <v>645</v>
      </c>
      <c r="G101" t="s">
        <v>640</v>
      </c>
    </row>
    <row r="102" spans="1:7">
      <c r="C102" t="s">
        <v>628</v>
      </c>
      <c r="E102" t="s">
        <v>647</v>
      </c>
      <c r="G102" t="s">
        <v>638</v>
      </c>
    </row>
    <row r="103" spans="1:7">
      <c r="C103" t="s">
        <v>632</v>
      </c>
      <c r="E103" t="s">
        <v>648</v>
      </c>
      <c r="G103" t="s">
        <v>641</v>
      </c>
    </row>
    <row r="105" spans="1:7">
      <c r="A105" t="s">
        <v>635</v>
      </c>
      <c r="B105" s="68" t="s">
        <v>658</v>
      </c>
      <c r="C105" t="s">
        <v>650</v>
      </c>
      <c r="E105" t="s">
        <v>651</v>
      </c>
    </row>
    <row r="106" spans="1:7">
      <c r="C106" t="s">
        <v>596</v>
      </c>
      <c r="E106" t="s">
        <v>644</v>
      </c>
    </row>
    <row r="107" spans="1:7">
      <c r="C107" t="s">
        <v>636</v>
      </c>
      <c r="E107" t="s">
        <v>645</v>
      </c>
    </row>
    <row r="108" spans="1:7">
      <c r="C108" t="s">
        <v>642</v>
      </c>
      <c r="E108" t="s">
        <v>423</v>
      </c>
    </row>
    <row r="110" spans="1:7">
      <c r="A110" t="s">
        <v>649</v>
      </c>
      <c r="B110" s="68" t="s">
        <v>659</v>
      </c>
      <c r="C110" t="s">
        <v>652</v>
      </c>
      <c r="E110" t="s">
        <v>653</v>
      </c>
    </row>
    <row r="111" spans="1:7">
      <c r="C111" t="s">
        <v>654</v>
      </c>
      <c r="E111" t="s">
        <v>655</v>
      </c>
    </row>
    <row r="112" spans="1:7">
      <c r="C112" t="s">
        <v>627</v>
      </c>
      <c r="E112" t="s">
        <v>643</v>
      </c>
    </row>
    <row r="114" spans="1:3">
      <c r="A114" t="s">
        <v>597</v>
      </c>
      <c r="B114" s="206" t="s">
        <v>422</v>
      </c>
    </row>
    <row r="115" spans="1:3">
      <c r="A115">
        <v>1</v>
      </c>
      <c r="B115" s="208" t="s">
        <v>623</v>
      </c>
    </row>
    <row r="116" spans="1:3">
      <c r="A116">
        <v>2</v>
      </c>
      <c r="B116" t="s">
        <v>624</v>
      </c>
      <c r="C116" t="s">
        <v>656</v>
      </c>
    </row>
    <row r="117" spans="1:3">
      <c r="A117">
        <v>3</v>
      </c>
      <c r="B117" t="s">
        <v>629</v>
      </c>
      <c r="C117" t="s">
        <v>630</v>
      </c>
    </row>
    <row r="118" spans="1:3">
      <c r="C118" t="s">
        <v>631</v>
      </c>
    </row>
    <row r="119" spans="1:3">
      <c r="A119">
        <v>3</v>
      </c>
      <c r="B119" t="s">
        <v>602</v>
      </c>
      <c r="C119" t="s">
        <v>601</v>
      </c>
    </row>
    <row r="120" spans="1:3">
      <c r="C120" t="s">
        <v>613</v>
      </c>
    </row>
    <row r="121" spans="1:3">
      <c r="A121">
        <v>4</v>
      </c>
      <c r="B121" t="s">
        <v>595</v>
      </c>
      <c r="C121" t="s">
        <v>604</v>
      </c>
    </row>
    <row r="122" spans="1:3">
      <c r="C122" t="s">
        <v>605</v>
      </c>
    </row>
    <row r="123" spans="1:3">
      <c r="C123" t="s">
        <v>606</v>
      </c>
    </row>
    <row r="124" spans="1:3">
      <c r="A124">
        <v>5</v>
      </c>
      <c r="B124" t="s">
        <v>607</v>
      </c>
      <c r="C124" t="s">
        <v>625</v>
      </c>
    </row>
    <row r="125" spans="1:3">
      <c r="C125" t="s">
        <v>608</v>
      </c>
    </row>
    <row r="128" spans="1:3">
      <c r="B128" s="206" t="s">
        <v>660</v>
      </c>
    </row>
    <row r="130" spans="1:7">
      <c r="A130" t="s">
        <v>626</v>
      </c>
      <c r="B130" s="207" t="s">
        <v>555</v>
      </c>
    </row>
    <row r="131" spans="1:7">
      <c r="B131" s="207"/>
    </row>
    <row r="132" spans="1:7">
      <c r="A132" t="s">
        <v>634</v>
      </c>
      <c r="B132" s="68" t="s">
        <v>657</v>
      </c>
      <c r="C132" t="s">
        <v>593</v>
      </c>
      <c r="E132" t="s">
        <v>646</v>
      </c>
      <c r="G132" t="s">
        <v>637</v>
      </c>
    </row>
    <row r="133" spans="1:7">
      <c r="C133" t="s">
        <v>633</v>
      </c>
      <c r="E133" t="s">
        <v>423</v>
      </c>
      <c r="G133" t="s">
        <v>639</v>
      </c>
    </row>
    <row r="134" spans="1:7">
      <c r="C134" t="s">
        <v>595</v>
      </c>
      <c r="E134" t="s">
        <v>645</v>
      </c>
      <c r="G134" t="s">
        <v>640</v>
      </c>
    </row>
    <row r="135" spans="1:7">
      <c r="C135" t="s">
        <v>628</v>
      </c>
      <c r="E135" t="s">
        <v>647</v>
      </c>
      <c r="G135" t="s">
        <v>638</v>
      </c>
    </row>
    <row r="136" spans="1:7">
      <c r="C136" t="s">
        <v>632</v>
      </c>
      <c r="E136" t="s">
        <v>648</v>
      </c>
      <c r="G136" t="s">
        <v>641</v>
      </c>
    </row>
    <row r="138" spans="1:7">
      <c r="A138" t="s">
        <v>635</v>
      </c>
      <c r="B138" s="68" t="s">
        <v>658</v>
      </c>
      <c r="C138" t="s">
        <v>650</v>
      </c>
      <c r="E138" t="s">
        <v>651</v>
      </c>
    </row>
    <row r="139" spans="1:7">
      <c r="C139" t="s">
        <v>596</v>
      </c>
      <c r="E139" t="s">
        <v>644</v>
      </c>
    </row>
    <row r="140" spans="1:7">
      <c r="C140" t="s">
        <v>636</v>
      </c>
      <c r="E140" t="s">
        <v>645</v>
      </c>
    </row>
    <row r="141" spans="1:7">
      <c r="C141" t="s">
        <v>642</v>
      </c>
      <c r="E141" t="s">
        <v>423</v>
      </c>
    </row>
    <row r="143" spans="1:7">
      <c r="A143" t="s">
        <v>649</v>
      </c>
      <c r="B143" s="68" t="s">
        <v>659</v>
      </c>
      <c r="C143" t="s">
        <v>652</v>
      </c>
      <c r="E143" t="s">
        <v>653</v>
      </c>
    </row>
    <row r="144" spans="1:7">
      <c r="C144" t="s">
        <v>654</v>
      </c>
      <c r="E144" t="s">
        <v>655</v>
      </c>
    </row>
    <row r="145" spans="1:5">
      <c r="C145" t="s">
        <v>627</v>
      </c>
      <c r="E145" t="s">
        <v>643</v>
      </c>
    </row>
    <row r="147" spans="1:5">
      <c r="A147" t="s">
        <v>597</v>
      </c>
      <c r="B147" s="206" t="s">
        <v>422</v>
      </c>
    </row>
    <row r="148" spans="1:5">
      <c r="A148">
        <v>1</v>
      </c>
      <c r="B148" s="208" t="s">
        <v>623</v>
      </c>
    </row>
    <row r="149" spans="1:5">
      <c r="A149">
        <v>2</v>
      </c>
      <c r="B149" t="s">
        <v>624</v>
      </c>
      <c r="C149" t="s">
        <v>661</v>
      </c>
    </row>
    <row r="150" spans="1:5">
      <c r="A150">
        <v>3</v>
      </c>
      <c r="B150" t="s">
        <v>629</v>
      </c>
      <c r="C150" t="s">
        <v>630</v>
      </c>
    </row>
    <row r="151" spans="1:5">
      <c r="C151" t="s">
        <v>631</v>
      </c>
    </row>
    <row r="152" spans="1:5">
      <c r="A152">
        <v>3</v>
      </c>
      <c r="B152" t="s">
        <v>602</v>
      </c>
      <c r="C152" t="s">
        <v>662</v>
      </c>
    </row>
    <row r="153" spans="1:5">
      <c r="C153" t="s">
        <v>613</v>
      </c>
    </row>
    <row r="154" spans="1:5">
      <c r="A154">
        <v>4</v>
      </c>
      <c r="B154" t="s">
        <v>595</v>
      </c>
      <c r="C154" t="s">
        <v>604</v>
      </c>
    </row>
    <row r="155" spans="1:5">
      <c r="C155" t="s">
        <v>605</v>
      </c>
    </row>
    <row r="156" spans="1:5">
      <c r="C156" t="s">
        <v>606</v>
      </c>
    </row>
    <row r="157" spans="1:5">
      <c r="A157">
        <v>5</v>
      </c>
      <c r="B157" t="s">
        <v>607</v>
      </c>
      <c r="C157" t="s">
        <v>625</v>
      </c>
    </row>
    <row r="158" spans="1:5">
      <c r="C158" t="s">
        <v>608</v>
      </c>
    </row>
    <row r="159" spans="1:5">
      <c r="A159">
        <v>6</v>
      </c>
      <c r="B159" t="s">
        <v>663</v>
      </c>
      <c r="C159" t="s">
        <v>664</v>
      </c>
    </row>
    <row r="160" spans="1:5">
      <c r="A160">
        <v>7</v>
      </c>
      <c r="B160" t="s">
        <v>665</v>
      </c>
      <c r="C160" t="s">
        <v>609</v>
      </c>
    </row>
    <row r="163" spans="1:3">
      <c r="A163" t="s">
        <v>597</v>
      </c>
      <c r="B163" s="206" t="s">
        <v>614</v>
      </c>
    </row>
    <row r="164" spans="1:3">
      <c r="A164">
        <v>1</v>
      </c>
      <c r="B164" s="208" t="s">
        <v>623</v>
      </c>
    </row>
    <row r="165" spans="1:3">
      <c r="A165">
        <v>2</v>
      </c>
      <c r="B165" t="s">
        <v>624</v>
      </c>
      <c r="C165" t="s">
        <v>661</v>
      </c>
    </row>
    <row r="166" spans="1:3">
      <c r="A166">
        <v>3</v>
      </c>
      <c r="B166" t="s">
        <v>629</v>
      </c>
      <c r="C166" t="s">
        <v>630</v>
      </c>
    </row>
    <row r="167" spans="1:3">
      <c r="C167" t="s">
        <v>631</v>
      </c>
    </row>
    <row r="168" spans="1:3">
      <c r="A168">
        <v>3</v>
      </c>
      <c r="B168" t="s">
        <v>602</v>
      </c>
      <c r="C168" t="s">
        <v>662</v>
      </c>
    </row>
    <row r="169" spans="1:3">
      <c r="C169" t="s">
        <v>616</v>
      </c>
    </row>
    <row r="170" spans="1:3">
      <c r="A170">
        <v>4</v>
      </c>
      <c r="B170" t="s">
        <v>595</v>
      </c>
      <c r="C170" t="s">
        <v>617</v>
      </c>
    </row>
    <row r="171" spans="1:3">
      <c r="C171" t="s">
        <v>605</v>
      </c>
    </row>
    <row r="172" spans="1:3">
      <c r="C172" t="s">
        <v>606</v>
      </c>
    </row>
    <row r="173" spans="1:3">
      <c r="A173">
        <v>5</v>
      </c>
      <c r="B173" t="s">
        <v>607</v>
      </c>
      <c r="C173" t="s">
        <v>666</v>
      </c>
    </row>
    <row r="174" spans="1:3">
      <c r="C174" t="s">
        <v>608</v>
      </c>
    </row>
    <row r="175" spans="1:3">
      <c r="A175">
        <v>6</v>
      </c>
      <c r="B175" t="s">
        <v>663</v>
      </c>
      <c r="C175" t="s">
        <v>664</v>
      </c>
    </row>
    <row r="176" spans="1:3">
      <c r="A176">
        <v>7</v>
      </c>
      <c r="B176" t="s">
        <v>665</v>
      </c>
      <c r="C176" t="s">
        <v>609</v>
      </c>
    </row>
  </sheetData>
  <mergeCells count="2">
    <mergeCell ref="C11:D11"/>
    <mergeCell ref="K5:L5"/>
  </mergeCells>
  <pageMargins left="0.7" right="0.7" top="0.75" bottom="0.75" header="0.3" footer="0.3"/>
  <pageSetup orientation="portrait" horizontalDpi="300" verticalDpi="300" r:id="rId1"/>
  <customProperties>
    <customPr name="LiveFeeds" r:id="rId2"/>
  </customProperties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59184-0977-4A1F-B198-35C58382BA5C}">
  <dimension ref="A1:K93"/>
  <sheetViews>
    <sheetView tabSelected="1" zoomScale="62" zoomScaleNormal="85" workbookViewId="0">
      <selection activeCell="D39" sqref="D39"/>
    </sheetView>
  </sheetViews>
  <sheetFormatPr defaultRowHeight="14.4"/>
  <cols>
    <col min="1" max="1" width="18.6640625" bestFit="1" customWidth="1"/>
    <col min="2" max="2" width="26.21875" bestFit="1" customWidth="1"/>
    <col min="3" max="3" width="104.109375" bestFit="1" customWidth="1"/>
    <col min="4" max="4" width="18.5546875" bestFit="1" customWidth="1"/>
    <col min="5" max="5" width="34.5546875" bestFit="1" customWidth="1"/>
    <col min="6" max="6" width="6.109375" customWidth="1"/>
    <col min="7" max="7" width="21.21875" bestFit="1" customWidth="1"/>
    <col min="8" max="8" width="22.5546875" bestFit="1" customWidth="1"/>
    <col min="9" max="9" width="67.33203125" bestFit="1" customWidth="1"/>
    <col min="10" max="10" width="21" bestFit="1" customWidth="1"/>
    <col min="11" max="11" width="34.5546875" bestFit="1" customWidth="1"/>
  </cols>
  <sheetData>
    <row r="1" spans="1:11" s="218" customFormat="1" ht="23.4">
      <c r="A1" s="217" t="s">
        <v>599</v>
      </c>
      <c r="G1" s="219" t="s">
        <v>621</v>
      </c>
      <c r="H1" s="218" t="s">
        <v>668</v>
      </c>
    </row>
    <row r="2" spans="1:11">
      <c r="A2" s="11"/>
      <c r="B2" s="69" t="s">
        <v>598</v>
      </c>
      <c r="C2" s="165" t="s">
        <v>676</v>
      </c>
    </row>
    <row r="3" spans="1:11">
      <c r="A3" s="212" t="s">
        <v>592</v>
      </c>
      <c r="B3" s="11"/>
      <c r="C3" s="11"/>
      <c r="G3" s="212" t="s">
        <v>626</v>
      </c>
      <c r="H3" s="191" t="s">
        <v>555</v>
      </c>
      <c r="I3" s="11"/>
      <c r="J3" s="11"/>
      <c r="K3" s="11"/>
    </row>
    <row r="4" spans="1:11">
      <c r="A4" s="115"/>
      <c r="B4" s="11" t="s">
        <v>593</v>
      </c>
      <c r="C4" s="11"/>
      <c r="G4" s="212"/>
      <c r="H4" s="191"/>
      <c r="I4" s="11"/>
      <c r="J4" s="11"/>
      <c r="K4" s="11"/>
    </row>
    <row r="5" spans="1:11">
      <c r="A5" s="115"/>
      <c r="B5" s="11" t="s">
        <v>594</v>
      </c>
      <c r="C5" s="11"/>
      <c r="G5" s="212" t="s">
        <v>634</v>
      </c>
      <c r="H5" s="191" t="s">
        <v>657</v>
      </c>
      <c r="I5" s="11" t="s">
        <v>593</v>
      </c>
      <c r="J5" s="11" t="s">
        <v>646</v>
      </c>
      <c r="K5" s="11" t="s">
        <v>637</v>
      </c>
    </row>
    <row r="6" spans="1:11">
      <c r="A6" s="115"/>
      <c r="B6" s="11" t="s">
        <v>595</v>
      </c>
      <c r="C6" s="11"/>
      <c r="G6" s="212"/>
      <c r="H6" s="190"/>
      <c r="I6" s="11" t="s">
        <v>633</v>
      </c>
      <c r="J6" s="11" t="s">
        <v>423</v>
      </c>
      <c r="K6" s="11" t="s">
        <v>639</v>
      </c>
    </row>
    <row r="7" spans="1:11">
      <c r="A7" s="115"/>
      <c r="B7" s="11" t="s">
        <v>596</v>
      </c>
      <c r="C7" s="11"/>
      <c r="G7" s="212"/>
      <c r="H7" s="190"/>
      <c r="I7" s="11" t="s">
        <v>595</v>
      </c>
      <c r="J7" s="11" t="s">
        <v>645</v>
      </c>
      <c r="K7" s="11" t="s">
        <v>640</v>
      </c>
    </row>
    <row r="8" spans="1:11">
      <c r="A8" s="115"/>
      <c r="B8" s="11"/>
      <c r="C8" s="11"/>
      <c r="G8" s="212"/>
      <c r="H8" s="190"/>
      <c r="I8" s="11" t="s">
        <v>628</v>
      </c>
      <c r="J8" s="11" t="s">
        <v>647</v>
      </c>
      <c r="K8" s="11" t="s">
        <v>638</v>
      </c>
    </row>
    <row r="9" spans="1:11">
      <c r="A9" s="212" t="s">
        <v>597</v>
      </c>
      <c r="B9" s="213" t="s">
        <v>422</v>
      </c>
      <c r="C9" s="11"/>
      <c r="G9" s="212"/>
      <c r="H9" s="190"/>
      <c r="I9" s="11" t="s">
        <v>632</v>
      </c>
      <c r="J9" s="11" t="s">
        <v>648</v>
      </c>
      <c r="K9" s="11" t="s">
        <v>641</v>
      </c>
    </row>
    <row r="10" spans="1:11">
      <c r="A10" s="213">
        <v>1</v>
      </c>
      <c r="B10" s="11" t="s">
        <v>600</v>
      </c>
      <c r="C10" s="11"/>
      <c r="G10" s="212"/>
      <c r="H10" s="190"/>
      <c r="I10" s="11"/>
      <c r="J10" s="11"/>
      <c r="K10" s="11"/>
    </row>
    <row r="11" spans="1:11">
      <c r="A11" s="213">
        <v>2</v>
      </c>
      <c r="B11" s="11" t="s">
        <v>615</v>
      </c>
      <c r="C11" s="11" t="s">
        <v>603</v>
      </c>
      <c r="G11" s="212" t="s">
        <v>635</v>
      </c>
      <c r="H11" s="191" t="s">
        <v>658</v>
      </c>
      <c r="I11" s="11" t="s">
        <v>650</v>
      </c>
      <c r="J11" s="11" t="s">
        <v>651</v>
      </c>
      <c r="K11" s="11"/>
    </row>
    <row r="12" spans="1:11">
      <c r="A12" s="213" t="s">
        <v>678</v>
      </c>
      <c r="B12" s="11" t="s">
        <v>690</v>
      </c>
      <c r="C12" s="11" t="s">
        <v>679</v>
      </c>
      <c r="G12" s="212"/>
      <c r="H12" s="191"/>
      <c r="I12" s="11"/>
      <c r="J12" s="11"/>
      <c r="K12" s="11"/>
    </row>
    <row r="13" spans="1:11">
      <c r="A13" s="213">
        <v>3</v>
      </c>
      <c r="B13" s="11" t="s">
        <v>602</v>
      </c>
      <c r="C13" s="11" t="s">
        <v>601</v>
      </c>
      <c r="G13" s="212"/>
      <c r="H13" s="190"/>
      <c r="I13" s="11" t="s">
        <v>596</v>
      </c>
      <c r="J13" s="11" t="s">
        <v>644</v>
      </c>
      <c r="K13" s="11"/>
    </row>
    <row r="14" spans="1:11">
      <c r="A14" s="213"/>
      <c r="B14" s="11"/>
      <c r="C14" s="11" t="s">
        <v>613</v>
      </c>
      <c r="G14" s="212"/>
      <c r="H14" s="190"/>
      <c r="I14" s="11" t="s">
        <v>636</v>
      </c>
      <c r="J14" s="11" t="s">
        <v>645</v>
      </c>
      <c r="K14" s="11"/>
    </row>
    <row r="15" spans="1:11">
      <c r="A15" s="213">
        <v>4</v>
      </c>
      <c r="B15" s="11" t="s">
        <v>595</v>
      </c>
      <c r="C15" s="11" t="s">
        <v>604</v>
      </c>
      <c r="G15" s="212"/>
      <c r="H15" s="190"/>
      <c r="I15" s="11" t="s">
        <v>642</v>
      </c>
      <c r="J15" s="11" t="s">
        <v>423</v>
      </c>
      <c r="K15" s="11"/>
    </row>
    <row r="16" spans="1:11">
      <c r="A16" s="213"/>
      <c r="B16" s="11"/>
      <c r="C16" s="11" t="s">
        <v>605</v>
      </c>
      <c r="G16" s="212"/>
      <c r="H16" s="190"/>
      <c r="I16" s="11"/>
      <c r="J16" s="11"/>
      <c r="K16" s="11"/>
    </row>
    <row r="17" spans="1:11">
      <c r="A17" s="213"/>
      <c r="B17" s="11"/>
      <c r="C17" s="11" t="s">
        <v>606</v>
      </c>
      <c r="G17" s="212" t="s">
        <v>649</v>
      </c>
      <c r="H17" s="191" t="s">
        <v>659</v>
      </c>
      <c r="I17" s="11" t="s">
        <v>652</v>
      </c>
      <c r="J17" s="11" t="s">
        <v>653</v>
      </c>
      <c r="K17" s="11"/>
    </row>
    <row r="18" spans="1:11">
      <c r="A18" s="213">
        <v>5</v>
      </c>
      <c r="B18" s="11" t="s">
        <v>607</v>
      </c>
      <c r="C18" s="11" t="s">
        <v>620</v>
      </c>
      <c r="G18" s="212"/>
      <c r="H18" s="11"/>
      <c r="I18" s="11" t="s">
        <v>654</v>
      </c>
      <c r="J18" s="11" t="s">
        <v>655</v>
      </c>
      <c r="K18" s="11"/>
    </row>
    <row r="19" spans="1:11">
      <c r="A19" s="213"/>
      <c r="B19" s="11"/>
      <c r="C19" s="11" t="s">
        <v>608</v>
      </c>
      <c r="G19" s="212"/>
      <c r="H19" s="11"/>
      <c r="I19" s="11" t="s">
        <v>627</v>
      </c>
      <c r="J19" s="11" t="s">
        <v>643</v>
      </c>
      <c r="K19" s="11"/>
    </row>
    <row r="20" spans="1:11">
      <c r="A20" s="213">
        <v>6</v>
      </c>
      <c r="B20" s="11" t="s">
        <v>567</v>
      </c>
      <c r="C20" s="224" t="s">
        <v>609</v>
      </c>
      <c r="G20" s="212"/>
      <c r="H20" s="11"/>
      <c r="I20" s="11"/>
      <c r="J20" s="11"/>
      <c r="K20" s="11"/>
    </row>
    <row r="21" spans="1:11">
      <c r="A21" s="213"/>
      <c r="B21" s="11"/>
      <c r="C21" s="11" t="s">
        <v>681</v>
      </c>
      <c r="G21" s="212"/>
      <c r="H21" s="11"/>
      <c r="I21" s="11"/>
      <c r="J21" s="11"/>
      <c r="K21" s="11"/>
    </row>
    <row r="22" spans="1:11">
      <c r="A22" s="213">
        <v>7</v>
      </c>
      <c r="B22" s="11" t="s">
        <v>424</v>
      </c>
      <c r="C22" s="224" t="s">
        <v>682</v>
      </c>
      <c r="G22" s="212" t="s">
        <v>597</v>
      </c>
      <c r="H22" s="191" t="s">
        <v>422</v>
      </c>
      <c r="I22" s="11"/>
      <c r="J22" s="11"/>
      <c r="K22" s="11"/>
    </row>
    <row r="23" spans="1:11">
      <c r="A23" s="213"/>
      <c r="B23" s="11"/>
      <c r="C23" s="118" t="s">
        <v>688</v>
      </c>
      <c r="G23" s="212"/>
      <c r="H23" s="191"/>
      <c r="I23" s="11"/>
      <c r="J23" s="11"/>
      <c r="K23" s="11"/>
    </row>
    <row r="24" spans="1:11">
      <c r="A24" s="213"/>
      <c r="B24" s="11"/>
      <c r="C24" s="11" t="s">
        <v>689</v>
      </c>
      <c r="G24" s="212"/>
      <c r="H24" s="191"/>
      <c r="I24" s="11"/>
      <c r="J24" s="11"/>
      <c r="K24" s="11"/>
    </row>
    <row r="25" spans="1:11">
      <c r="A25" s="213"/>
      <c r="B25" s="11"/>
      <c r="C25" s="11" t="s">
        <v>683</v>
      </c>
      <c r="G25" s="212"/>
      <c r="H25" s="191"/>
      <c r="I25" s="11"/>
      <c r="J25" s="11"/>
      <c r="K25" s="11"/>
    </row>
    <row r="26" spans="1:11">
      <c r="A26" s="213">
        <v>8</v>
      </c>
      <c r="B26" s="11" t="s">
        <v>611</v>
      </c>
      <c r="C26" s="11" t="s">
        <v>680</v>
      </c>
      <c r="G26" s="213">
        <v>1</v>
      </c>
      <c r="H26" s="211" t="s">
        <v>623</v>
      </c>
      <c r="I26" s="11"/>
      <c r="J26" s="11"/>
      <c r="K26" s="11"/>
    </row>
    <row r="27" spans="1:11">
      <c r="A27" s="213"/>
      <c r="B27" s="11"/>
      <c r="C27" s="11" t="s">
        <v>679</v>
      </c>
      <c r="G27" s="213">
        <v>2</v>
      </c>
      <c r="H27" s="11" t="s">
        <v>624</v>
      </c>
      <c r="I27" s="11" t="s">
        <v>691</v>
      </c>
      <c r="J27" s="11"/>
      <c r="K27" s="11"/>
    </row>
    <row r="28" spans="1:11">
      <c r="A28" s="213"/>
      <c r="B28" s="11"/>
      <c r="C28" s="11"/>
      <c r="G28" s="213">
        <v>3</v>
      </c>
      <c r="H28" s="11" t="s">
        <v>629</v>
      </c>
      <c r="I28" s="11" t="s">
        <v>630</v>
      </c>
      <c r="J28" s="11"/>
      <c r="K28" s="11"/>
    </row>
    <row r="29" spans="1:11">
      <c r="A29" s="213"/>
      <c r="B29" s="213" t="s">
        <v>614</v>
      </c>
      <c r="C29" s="11"/>
      <c r="G29" s="213"/>
      <c r="H29" s="11"/>
      <c r="I29" s="11" t="s">
        <v>631</v>
      </c>
      <c r="J29" s="11"/>
      <c r="K29" s="11"/>
    </row>
    <row r="30" spans="1:11">
      <c r="A30" s="213">
        <v>1</v>
      </c>
      <c r="B30" s="11" t="s">
        <v>600</v>
      </c>
      <c r="C30" s="11"/>
      <c r="G30" s="213">
        <v>3</v>
      </c>
      <c r="H30" s="11" t="s">
        <v>602</v>
      </c>
      <c r="I30" s="11" t="s">
        <v>601</v>
      </c>
      <c r="J30" s="11"/>
      <c r="K30" s="11"/>
    </row>
    <row r="31" spans="1:11">
      <c r="A31" s="213">
        <v>2</v>
      </c>
      <c r="B31" s="11" t="s">
        <v>615</v>
      </c>
      <c r="C31" s="11" t="s">
        <v>603</v>
      </c>
      <c r="G31" s="213"/>
      <c r="H31" s="11"/>
      <c r="I31" s="11" t="s">
        <v>613</v>
      </c>
      <c r="J31" s="11"/>
      <c r="K31" s="11"/>
    </row>
    <row r="32" spans="1:11">
      <c r="A32" s="213" t="s">
        <v>684</v>
      </c>
      <c r="B32" s="11" t="s">
        <v>677</v>
      </c>
      <c r="C32" s="11" t="s">
        <v>662</v>
      </c>
      <c r="G32" s="213"/>
      <c r="H32" s="11"/>
      <c r="I32" s="11"/>
      <c r="J32" s="11"/>
      <c r="K32" s="11"/>
    </row>
    <row r="33" spans="1:11">
      <c r="A33" s="213">
        <v>3</v>
      </c>
      <c r="B33" s="11" t="s">
        <v>602</v>
      </c>
      <c r="C33" s="11" t="s">
        <v>662</v>
      </c>
      <c r="G33" s="213">
        <v>4</v>
      </c>
      <c r="H33" s="11" t="s">
        <v>595</v>
      </c>
      <c r="I33" s="11" t="s">
        <v>604</v>
      </c>
      <c r="J33" s="11"/>
      <c r="K33" s="11"/>
    </row>
    <row r="34" spans="1:11">
      <c r="A34" s="213"/>
      <c r="B34" s="11"/>
      <c r="C34" s="11" t="s">
        <v>616</v>
      </c>
      <c r="G34" s="213"/>
      <c r="H34" s="11"/>
      <c r="I34" s="11" t="s">
        <v>605</v>
      </c>
      <c r="J34" s="11"/>
      <c r="K34" s="11"/>
    </row>
    <row r="35" spans="1:11">
      <c r="A35" s="213">
        <v>4</v>
      </c>
      <c r="B35" s="11" t="s">
        <v>595</v>
      </c>
      <c r="C35" s="11" t="s">
        <v>617</v>
      </c>
      <c r="G35" s="213"/>
      <c r="H35" s="11"/>
      <c r="I35" s="11" t="s">
        <v>606</v>
      </c>
      <c r="J35" s="11"/>
      <c r="K35" s="11"/>
    </row>
    <row r="36" spans="1:11">
      <c r="A36" s="213"/>
      <c r="B36" s="11"/>
      <c r="C36" s="11" t="s">
        <v>605</v>
      </c>
      <c r="G36" s="213">
        <v>5</v>
      </c>
      <c r="H36" s="11" t="s">
        <v>607</v>
      </c>
      <c r="I36" s="11" t="s">
        <v>625</v>
      </c>
      <c r="J36" s="11"/>
      <c r="K36" s="11"/>
    </row>
    <row r="37" spans="1:11">
      <c r="A37" s="213"/>
      <c r="B37" s="11"/>
      <c r="C37" s="11" t="s">
        <v>618</v>
      </c>
      <c r="G37" s="212"/>
      <c r="H37" s="11"/>
      <c r="I37" s="11" t="s">
        <v>608</v>
      </c>
      <c r="J37" s="11"/>
      <c r="K37" s="11"/>
    </row>
    <row r="38" spans="1:11">
      <c r="A38" s="213">
        <v>5</v>
      </c>
      <c r="B38" s="11" t="s">
        <v>607</v>
      </c>
      <c r="C38" s="11" t="s">
        <v>619</v>
      </c>
    </row>
    <row r="39" spans="1:11">
      <c r="A39" s="213"/>
      <c r="B39" s="11"/>
      <c r="C39" s="11" t="s">
        <v>608</v>
      </c>
    </row>
    <row r="40" spans="1:11">
      <c r="A40" s="213">
        <v>6</v>
      </c>
      <c r="B40" s="11" t="s">
        <v>567</v>
      </c>
      <c r="C40" s="11" t="s">
        <v>685</v>
      </c>
    </row>
    <row r="41" spans="1:11">
      <c r="A41" s="213">
        <v>7</v>
      </c>
      <c r="B41" s="11" t="s">
        <v>424</v>
      </c>
      <c r="C41" s="11" t="s">
        <v>686</v>
      </c>
    </row>
    <row r="42" spans="1:11">
      <c r="A42" s="213">
        <v>8</v>
      </c>
      <c r="B42" s="11" t="s">
        <v>611</v>
      </c>
      <c r="C42" s="11" t="s">
        <v>687</v>
      </c>
    </row>
    <row r="45" spans="1:11" s="216" customFormat="1" ht="23.4">
      <c r="A45" s="217" t="s">
        <v>667</v>
      </c>
      <c r="B45" s="220" t="s">
        <v>660</v>
      </c>
      <c r="G45" s="217" t="s">
        <v>474</v>
      </c>
      <c r="H45"/>
      <c r="I45"/>
    </row>
    <row r="47" spans="1:11">
      <c r="A47" s="11" t="s">
        <v>626</v>
      </c>
      <c r="B47" s="210" t="s">
        <v>555</v>
      </c>
      <c r="C47" s="11"/>
      <c r="D47" s="11"/>
      <c r="E47" s="11"/>
      <c r="F47" s="71"/>
      <c r="G47" s="222" t="s">
        <v>669</v>
      </c>
      <c r="H47" s="11" t="s">
        <v>622</v>
      </c>
      <c r="I47" s="11" t="s">
        <v>670</v>
      </c>
      <c r="J47" s="11"/>
    </row>
    <row r="48" spans="1:11">
      <c r="A48" s="11"/>
      <c r="B48" s="210"/>
      <c r="C48" s="11"/>
      <c r="D48" s="11"/>
      <c r="E48" s="11"/>
      <c r="F48" s="71"/>
      <c r="G48" s="222" t="s">
        <v>671</v>
      </c>
      <c r="H48" s="11" t="s">
        <v>675</v>
      </c>
      <c r="I48" s="11"/>
      <c r="J48" s="11"/>
    </row>
    <row r="49" spans="1:10">
      <c r="A49" s="212" t="s">
        <v>634</v>
      </c>
      <c r="B49" s="69" t="s">
        <v>657</v>
      </c>
      <c r="C49" s="11" t="s">
        <v>593</v>
      </c>
      <c r="D49" s="11" t="s">
        <v>646</v>
      </c>
      <c r="E49" s="11" t="s">
        <v>637</v>
      </c>
      <c r="F49" s="71"/>
      <c r="G49" s="214">
        <v>1</v>
      </c>
      <c r="H49" s="11"/>
      <c r="I49" s="11" t="s">
        <v>672</v>
      </c>
      <c r="J49" s="11"/>
    </row>
    <row r="50" spans="1:10">
      <c r="A50" s="212"/>
      <c r="B50" s="11"/>
      <c r="C50" s="11" t="s">
        <v>633</v>
      </c>
      <c r="D50" s="11" t="s">
        <v>423</v>
      </c>
      <c r="E50" s="11" t="s">
        <v>639</v>
      </c>
      <c r="F50" s="71"/>
      <c r="G50" s="214">
        <v>2</v>
      </c>
      <c r="H50" s="11"/>
      <c r="I50" s="11" t="s">
        <v>673</v>
      </c>
      <c r="J50" s="11"/>
    </row>
    <row r="51" spans="1:10" ht="21">
      <c r="A51" s="212"/>
      <c r="B51" s="11"/>
      <c r="C51" s="11" t="s">
        <v>595</v>
      </c>
      <c r="D51" s="11" t="s">
        <v>645</v>
      </c>
      <c r="E51" s="11" t="s">
        <v>640</v>
      </c>
      <c r="F51" s="71"/>
      <c r="G51" s="223">
        <v>3</v>
      </c>
      <c r="H51" s="221"/>
      <c r="I51" s="221" t="s">
        <v>674</v>
      </c>
      <c r="J51" s="11"/>
    </row>
    <row r="52" spans="1:10">
      <c r="A52" s="212"/>
      <c r="B52" s="11"/>
      <c r="C52" s="11" t="s">
        <v>628</v>
      </c>
      <c r="D52" s="11" t="s">
        <v>647</v>
      </c>
      <c r="E52" s="11" t="s">
        <v>638</v>
      </c>
      <c r="F52" s="71"/>
    </row>
    <row r="53" spans="1:10">
      <c r="A53" s="212"/>
      <c r="B53" s="11"/>
      <c r="C53" s="11" t="s">
        <v>632</v>
      </c>
      <c r="D53" s="11" t="s">
        <v>648</v>
      </c>
      <c r="E53" s="11" t="s">
        <v>641</v>
      </c>
      <c r="F53" s="71"/>
    </row>
    <row r="54" spans="1:10">
      <c r="A54" s="212"/>
      <c r="B54" s="11"/>
      <c r="C54" s="11"/>
      <c r="D54" s="11"/>
      <c r="E54" s="11"/>
      <c r="F54" s="71"/>
    </row>
    <row r="55" spans="1:10">
      <c r="A55" s="212" t="s">
        <v>635</v>
      </c>
      <c r="B55" s="69" t="s">
        <v>658</v>
      </c>
      <c r="C55" s="11" t="s">
        <v>650</v>
      </c>
      <c r="D55" s="11" t="s">
        <v>651</v>
      </c>
      <c r="E55" s="11"/>
      <c r="F55" s="71"/>
    </row>
    <row r="56" spans="1:10">
      <c r="A56" s="212"/>
      <c r="B56" s="11"/>
      <c r="C56" s="11" t="s">
        <v>596</v>
      </c>
      <c r="D56" s="11" t="s">
        <v>644</v>
      </c>
      <c r="E56" s="11"/>
      <c r="F56" s="71"/>
    </row>
    <row r="57" spans="1:10">
      <c r="A57" s="212"/>
      <c r="B57" s="11"/>
      <c r="C57" s="11" t="s">
        <v>636</v>
      </c>
      <c r="D57" s="11" t="s">
        <v>645</v>
      </c>
      <c r="E57" s="11"/>
      <c r="F57" s="71"/>
    </row>
    <row r="58" spans="1:10">
      <c r="A58" s="212"/>
      <c r="B58" s="11"/>
      <c r="C58" s="11" t="s">
        <v>642</v>
      </c>
      <c r="D58" s="11" t="s">
        <v>423</v>
      </c>
      <c r="E58" s="11"/>
      <c r="F58" s="71"/>
    </row>
    <row r="59" spans="1:10">
      <c r="A59" s="212"/>
      <c r="B59" s="11"/>
      <c r="C59" s="11"/>
      <c r="D59" s="11"/>
      <c r="E59" s="11"/>
      <c r="F59" s="71"/>
    </row>
    <row r="60" spans="1:10">
      <c r="A60" s="212" t="s">
        <v>649</v>
      </c>
      <c r="B60" s="69" t="s">
        <v>659</v>
      </c>
      <c r="C60" s="11" t="s">
        <v>652</v>
      </c>
      <c r="D60" s="11" t="s">
        <v>653</v>
      </c>
      <c r="E60" s="11"/>
      <c r="F60" s="71"/>
    </row>
    <row r="61" spans="1:10">
      <c r="A61" s="212"/>
      <c r="B61" s="11"/>
      <c r="C61" s="11" t="s">
        <v>654</v>
      </c>
      <c r="D61" s="11" t="s">
        <v>655</v>
      </c>
      <c r="E61" s="11"/>
      <c r="F61" s="71"/>
    </row>
    <row r="62" spans="1:10">
      <c r="A62" s="115"/>
      <c r="B62" s="11"/>
      <c r="C62" s="11" t="s">
        <v>627</v>
      </c>
      <c r="D62" s="11" t="s">
        <v>643</v>
      </c>
      <c r="E62" s="11"/>
      <c r="F62" s="71"/>
    </row>
    <row r="64" spans="1:10">
      <c r="A64" s="69" t="s">
        <v>597</v>
      </c>
      <c r="B64" s="215" t="s">
        <v>422</v>
      </c>
      <c r="C64" s="11"/>
    </row>
    <row r="65" spans="1:3">
      <c r="A65" s="214">
        <v>1</v>
      </c>
      <c r="B65" s="211" t="s">
        <v>623</v>
      </c>
      <c r="C65" s="11"/>
    </row>
    <row r="66" spans="1:3">
      <c r="A66" s="214">
        <v>2</v>
      </c>
      <c r="B66" s="11" t="s">
        <v>624</v>
      </c>
      <c r="C66" s="11" t="s">
        <v>661</v>
      </c>
    </row>
    <row r="67" spans="1:3">
      <c r="A67" s="214">
        <v>3</v>
      </c>
      <c r="B67" s="11" t="s">
        <v>629</v>
      </c>
      <c r="C67" s="11" t="s">
        <v>630</v>
      </c>
    </row>
    <row r="68" spans="1:3">
      <c r="A68" s="214"/>
      <c r="B68" s="11"/>
      <c r="C68" s="11" t="s">
        <v>631</v>
      </c>
    </row>
    <row r="69" spans="1:3">
      <c r="A69" s="214">
        <v>3</v>
      </c>
      <c r="B69" s="11" t="s">
        <v>602</v>
      </c>
      <c r="C69" s="11" t="s">
        <v>662</v>
      </c>
    </row>
    <row r="70" spans="1:3">
      <c r="A70" s="214"/>
      <c r="B70" s="11"/>
      <c r="C70" s="11" t="s">
        <v>613</v>
      </c>
    </row>
    <row r="71" spans="1:3">
      <c r="A71" s="214">
        <v>4</v>
      </c>
      <c r="B71" s="11" t="s">
        <v>595</v>
      </c>
      <c r="C71" s="11" t="s">
        <v>604</v>
      </c>
    </row>
    <row r="72" spans="1:3">
      <c r="A72" s="214"/>
      <c r="B72" s="11"/>
      <c r="C72" s="11" t="s">
        <v>605</v>
      </c>
    </row>
    <row r="73" spans="1:3">
      <c r="A73" s="214"/>
      <c r="B73" s="11"/>
      <c r="C73" s="11" t="s">
        <v>606</v>
      </c>
    </row>
    <row r="74" spans="1:3">
      <c r="A74" s="214">
        <v>5</v>
      </c>
      <c r="B74" s="11" t="s">
        <v>607</v>
      </c>
      <c r="C74" s="11" t="s">
        <v>625</v>
      </c>
    </row>
    <row r="75" spans="1:3">
      <c r="A75" s="214"/>
      <c r="B75" s="11"/>
      <c r="C75" s="11" t="s">
        <v>608</v>
      </c>
    </row>
    <row r="76" spans="1:3">
      <c r="A76" s="214">
        <v>6</v>
      </c>
      <c r="B76" s="11" t="s">
        <v>663</v>
      </c>
      <c r="C76" s="11" t="s">
        <v>664</v>
      </c>
    </row>
    <row r="77" spans="1:3">
      <c r="A77" s="214">
        <v>7</v>
      </c>
      <c r="B77" s="11" t="s">
        <v>665</v>
      </c>
      <c r="C77" s="11" t="s">
        <v>609</v>
      </c>
    </row>
    <row r="80" spans="1:3">
      <c r="A80" s="210" t="s">
        <v>597</v>
      </c>
      <c r="B80" s="215" t="s">
        <v>614</v>
      </c>
      <c r="C80" s="11"/>
    </row>
    <row r="81" spans="1:3">
      <c r="A81" s="214">
        <v>1</v>
      </c>
      <c r="B81" s="211" t="s">
        <v>623</v>
      </c>
      <c r="C81" s="11"/>
    </row>
    <row r="82" spans="1:3">
      <c r="A82" s="214">
        <v>2</v>
      </c>
      <c r="B82" s="11" t="s">
        <v>624</v>
      </c>
      <c r="C82" s="11" t="s">
        <v>661</v>
      </c>
    </row>
    <row r="83" spans="1:3">
      <c r="A83" s="214">
        <v>3</v>
      </c>
      <c r="B83" s="11" t="s">
        <v>629</v>
      </c>
      <c r="C83" s="11" t="s">
        <v>630</v>
      </c>
    </row>
    <row r="84" spans="1:3">
      <c r="A84" s="214"/>
      <c r="B84" s="11"/>
      <c r="C84" s="11" t="s">
        <v>631</v>
      </c>
    </row>
    <row r="85" spans="1:3">
      <c r="A85" s="214">
        <v>3</v>
      </c>
      <c r="B85" s="11" t="s">
        <v>602</v>
      </c>
      <c r="C85" s="11" t="s">
        <v>662</v>
      </c>
    </row>
    <row r="86" spans="1:3">
      <c r="A86" s="214"/>
      <c r="B86" s="11"/>
      <c r="C86" s="11" t="s">
        <v>616</v>
      </c>
    </row>
    <row r="87" spans="1:3">
      <c r="A87" s="214">
        <v>4</v>
      </c>
      <c r="B87" s="11" t="s">
        <v>595</v>
      </c>
      <c r="C87" s="11" t="s">
        <v>617</v>
      </c>
    </row>
    <row r="88" spans="1:3">
      <c r="A88" s="214"/>
      <c r="B88" s="11"/>
      <c r="C88" s="11" t="s">
        <v>605</v>
      </c>
    </row>
    <row r="89" spans="1:3">
      <c r="A89" s="214"/>
      <c r="B89" s="11"/>
      <c r="C89" s="11" t="s">
        <v>606</v>
      </c>
    </row>
    <row r="90" spans="1:3">
      <c r="A90" s="214">
        <v>5</v>
      </c>
      <c r="B90" s="11" t="s">
        <v>607</v>
      </c>
      <c r="C90" s="11" t="s">
        <v>666</v>
      </c>
    </row>
    <row r="91" spans="1:3">
      <c r="A91" s="214"/>
      <c r="B91" s="11"/>
      <c r="C91" s="11" t="s">
        <v>608</v>
      </c>
    </row>
    <row r="92" spans="1:3">
      <c r="A92" s="214">
        <v>6</v>
      </c>
      <c r="B92" s="11" t="s">
        <v>663</v>
      </c>
      <c r="C92" s="11" t="s">
        <v>664</v>
      </c>
    </row>
    <row r="93" spans="1:3">
      <c r="A93" s="214">
        <v>7</v>
      </c>
      <c r="B93" s="11" t="s">
        <v>665</v>
      </c>
      <c r="C93" s="11" t="s">
        <v>609</v>
      </c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CBF6C-9239-4CED-93E7-5F38FDBD75ED}">
  <dimension ref="A1:N22"/>
  <sheetViews>
    <sheetView zoomScale="70" zoomScaleNormal="70" workbookViewId="0">
      <selection activeCell="M12" sqref="M12"/>
    </sheetView>
  </sheetViews>
  <sheetFormatPr defaultColWidth="13.33203125" defaultRowHeight="14.4"/>
  <cols>
    <col min="2" max="2" width="16.5546875" customWidth="1"/>
    <col min="9" max="9" width="7.77734375" customWidth="1"/>
  </cols>
  <sheetData>
    <row r="1" spans="1:14">
      <c r="A1" s="9">
        <v>44075</v>
      </c>
    </row>
    <row r="2" spans="1:14">
      <c r="A2" s="8"/>
      <c r="B2" s="284" t="s">
        <v>43</v>
      </c>
      <c r="C2" s="284"/>
      <c r="D2" s="284"/>
      <c r="E2" s="284"/>
      <c r="F2" s="284"/>
      <c r="G2" s="284"/>
      <c r="H2" s="284"/>
      <c r="I2" s="284"/>
      <c r="J2" s="284"/>
    </row>
    <row r="3" spans="1:14">
      <c r="B3" t="s">
        <v>39</v>
      </c>
      <c r="C3" t="s">
        <v>33</v>
      </c>
      <c r="D3" t="s">
        <v>35</v>
      </c>
      <c r="E3" t="s">
        <v>36</v>
      </c>
      <c r="F3" t="s">
        <v>34</v>
      </c>
      <c r="G3" t="s">
        <v>37</v>
      </c>
      <c r="H3" t="s">
        <v>42</v>
      </c>
      <c r="J3" t="s">
        <v>38</v>
      </c>
    </row>
    <row r="5" spans="1:14">
      <c r="A5" t="s">
        <v>40</v>
      </c>
      <c r="B5" s="17" t="s">
        <v>740</v>
      </c>
      <c r="C5" s="18">
        <v>44683</v>
      </c>
      <c r="D5" s="17">
        <v>10</v>
      </c>
      <c r="E5" s="17">
        <v>1109</v>
      </c>
      <c r="F5" s="18">
        <v>44789</v>
      </c>
      <c r="G5" s="17">
        <v>1300</v>
      </c>
      <c r="H5" s="17">
        <f>D5*E5</f>
        <v>11090</v>
      </c>
      <c r="J5" s="17">
        <f>D5*(G5-E5)</f>
        <v>1910</v>
      </c>
      <c r="K5" s="76">
        <f>J5/(E5*D5)</f>
        <v>0.17222723174030657</v>
      </c>
    </row>
    <row r="6" spans="1:14">
      <c r="B6" s="256"/>
      <c r="C6" s="18"/>
      <c r="D6" s="17"/>
      <c r="E6" s="17"/>
      <c r="F6" s="18"/>
      <c r="G6" s="17"/>
      <c r="H6" s="17"/>
      <c r="I6" s="19"/>
      <c r="K6" s="117"/>
      <c r="L6" s="117"/>
      <c r="M6" s="117"/>
      <c r="N6" s="117"/>
    </row>
    <row r="7" spans="1:14">
      <c r="B7" s="30"/>
      <c r="C7" s="7"/>
      <c r="D7" s="4"/>
      <c r="E7" s="4"/>
      <c r="F7" s="7"/>
      <c r="G7" s="4"/>
      <c r="H7" s="15"/>
      <c r="I7" s="14"/>
      <c r="J7" s="16"/>
      <c r="K7" s="117"/>
      <c r="L7" s="117"/>
      <c r="M7" s="117"/>
      <c r="N7" s="117"/>
    </row>
    <row r="8" spans="1:14">
      <c r="B8" s="30"/>
      <c r="C8" s="7"/>
      <c r="D8" s="4"/>
      <c r="E8" s="4"/>
      <c r="F8" s="7"/>
      <c r="G8" s="4"/>
      <c r="H8" s="15"/>
      <c r="I8" s="14"/>
      <c r="J8" s="16"/>
      <c r="K8" s="117"/>
      <c r="L8" s="117"/>
      <c r="M8" s="117"/>
      <c r="N8" s="117"/>
    </row>
    <row r="9" spans="1:14">
      <c r="B9" s="30"/>
      <c r="C9" s="7"/>
      <c r="D9" s="4"/>
      <c r="E9" s="4"/>
      <c r="F9" s="7"/>
      <c r="G9" s="4"/>
      <c r="H9" s="15"/>
      <c r="I9" s="14"/>
      <c r="J9" s="16"/>
      <c r="K9" s="117"/>
      <c r="L9" s="117"/>
      <c r="M9" s="117"/>
      <c r="N9" s="117"/>
    </row>
    <row r="10" spans="1:14">
      <c r="B10" s="30"/>
      <c r="C10" s="7"/>
      <c r="D10" s="4"/>
      <c r="E10" s="4"/>
      <c r="F10" s="7"/>
      <c r="G10" s="4"/>
      <c r="H10" s="15"/>
      <c r="I10" s="14"/>
      <c r="J10" s="16"/>
      <c r="K10" s="117"/>
      <c r="L10" s="117"/>
      <c r="M10" s="117"/>
      <c r="N10" s="117"/>
    </row>
    <row r="11" spans="1:14">
      <c r="B11" s="30"/>
      <c r="C11" s="7"/>
      <c r="D11" s="4"/>
      <c r="E11" s="4"/>
      <c r="F11" s="7"/>
      <c r="G11" s="4"/>
      <c r="H11" s="15"/>
      <c r="I11" s="14"/>
      <c r="J11" s="16"/>
      <c r="K11" s="117"/>
      <c r="L11" s="117"/>
      <c r="M11" s="117"/>
      <c r="N11" s="117"/>
    </row>
    <row r="12" spans="1:14">
      <c r="B12" s="30"/>
      <c r="C12" s="7"/>
      <c r="D12" s="4"/>
      <c r="E12" s="4"/>
      <c r="F12" s="7"/>
      <c r="G12" s="4"/>
      <c r="H12" s="15"/>
      <c r="I12" s="14"/>
      <c r="J12" s="16"/>
      <c r="K12" s="117"/>
      <c r="L12" s="117"/>
      <c r="M12" s="117"/>
      <c r="N12" s="117"/>
    </row>
    <row r="13" spans="1:14">
      <c r="B13" s="4"/>
      <c r="C13" s="7"/>
      <c r="D13" s="4"/>
      <c r="E13" s="4"/>
      <c r="F13" s="7"/>
      <c r="G13" s="4"/>
      <c r="H13" s="4"/>
      <c r="I13" s="14"/>
      <c r="J13" s="4"/>
    </row>
    <row r="14" spans="1:14">
      <c r="B14" s="17"/>
      <c r="C14" s="7"/>
      <c r="D14" s="4"/>
      <c r="E14" s="4"/>
      <c r="F14" s="7"/>
      <c r="G14" s="4"/>
      <c r="H14" s="4"/>
      <c r="I14" s="14"/>
      <c r="J14" s="4"/>
    </row>
    <row r="15" spans="1:14">
      <c r="B15" s="17"/>
      <c r="C15" s="18"/>
      <c r="D15" s="17"/>
      <c r="E15" s="17"/>
      <c r="F15" s="18"/>
      <c r="G15" s="17"/>
      <c r="H15" s="17"/>
      <c r="I15" s="19"/>
      <c r="J15" s="17"/>
    </row>
    <row r="16" spans="1:14">
      <c r="B16" s="4"/>
      <c r="C16" s="7"/>
      <c r="D16" s="4"/>
      <c r="E16" s="4"/>
      <c r="F16" s="7"/>
      <c r="G16" s="4"/>
      <c r="H16" s="4"/>
      <c r="I16" s="4"/>
      <c r="J16" s="4"/>
    </row>
    <row r="17" spans="1:11">
      <c r="B17" s="16"/>
      <c r="C17" s="7"/>
      <c r="D17" s="4"/>
      <c r="E17" s="4"/>
      <c r="F17" s="7"/>
      <c r="G17" s="4"/>
      <c r="H17" s="4"/>
      <c r="I17" s="14"/>
      <c r="J17" s="4"/>
    </row>
    <row r="20" spans="1:11" ht="15" thickBot="1">
      <c r="A20" t="s">
        <v>41</v>
      </c>
      <c r="C20" s="3"/>
      <c r="H20" s="91">
        <f>SUM(H5:H17)</f>
        <v>11090</v>
      </c>
      <c r="J20" s="91">
        <f>SUM(J5:J17)</f>
        <v>1910</v>
      </c>
      <c r="K20" s="76">
        <f>J20/H20</f>
        <v>0.17222723174030657</v>
      </c>
    </row>
    <row r="21" spans="1:11" ht="15" thickTop="1">
      <c r="B21" t="s">
        <v>723</v>
      </c>
      <c r="C21" s="3">
        <v>44320</v>
      </c>
      <c r="D21">
        <v>5</v>
      </c>
      <c r="E21">
        <v>901.75</v>
      </c>
      <c r="G21">
        <v>1200</v>
      </c>
      <c r="H21" s="6">
        <f>D21*E21</f>
        <v>4508.75</v>
      </c>
      <c r="I21" s="12">
        <f>(G21-E21)/E21</f>
        <v>0.33074577210978651</v>
      </c>
    </row>
    <row r="22" spans="1:11">
      <c r="C22" s="3"/>
      <c r="D22" s="6"/>
      <c r="I22" s="12"/>
    </row>
  </sheetData>
  <mergeCells count="1">
    <mergeCell ref="B2:J2"/>
  </mergeCells>
  <phoneticPr fontId="68" type="noConversion"/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43"/>
  <sheetViews>
    <sheetView zoomScale="75" zoomScaleNormal="90" workbookViewId="0">
      <selection activeCell="W15" sqref="W15"/>
    </sheetView>
  </sheetViews>
  <sheetFormatPr defaultRowHeight="14.4"/>
  <cols>
    <col min="1" max="1" width="33.77734375" customWidth="1"/>
    <col min="2" max="2" width="13.44140625" customWidth="1"/>
    <col min="3" max="3" width="15" customWidth="1"/>
    <col min="4" max="4" width="4.5546875" customWidth="1"/>
    <col min="5" max="5" width="13.6640625" customWidth="1"/>
    <col min="6" max="6" width="10.109375" bestFit="1" customWidth="1"/>
    <col min="7" max="7" width="26" customWidth="1"/>
    <col min="8" max="8" width="4.33203125" customWidth="1"/>
    <col min="9" max="10" width="4.109375" customWidth="1"/>
    <col min="11" max="11" width="3.33203125" customWidth="1"/>
    <col min="12" max="12" width="20.33203125" customWidth="1"/>
    <col min="13" max="13" width="9.33203125" customWidth="1"/>
    <col min="14" max="14" width="17.77734375" customWidth="1"/>
    <col min="15" max="15" width="9.88671875" bestFit="1" customWidth="1"/>
    <col min="17" max="17" width="13.44140625" bestFit="1" customWidth="1"/>
    <col min="18" max="18" width="11.44140625" bestFit="1" customWidth="1"/>
    <col min="23" max="23" width="10.33203125" bestFit="1" customWidth="1"/>
    <col min="25" max="25" width="11.109375" bestFit="1" customWidth="1"/>
  </cols>
  <sheetData>
    <row r="1" spans="1:25" ht="20.399999999999999">
      <c r="A1" s="26" t="s">
        <v>47</v>
      </c>
      <c r="B1" s="27" t="s">
        <v>48</v>
      </c>
      <c r="C1" s="27" t="s">
        <v>49</v>
      </c>
      <c r="E1" s="92" t="s">
        <v>450</v>
      </c>
      <c r="F1" s="3"/>
      <c r="G1" s="69" t="s">
        <v>425</v>
      </c>
      <c r="L1" s="82" t="s">
        <v>433</v>
      </c>
      <c r="M1" s="82"/>
      <c r="N1" s="83">
        <v>44346</v>
      </c>
      <c r="O1" s="3"/>
      <c r="T1" s="289" t="s">
        <v>501</v>
      </c>
      <c r="U1" s="290"/>
    </row>
    <row r="2" spans="1:25">
      <c r="A2" s="22" t="s">
        <v>131</v>
      </c>
      <c r="B2" s="29" t="s">
        <v>132</v>
      </c>
      <c r="C2" s="122">
        <v>70000</v>
      </c>
      <c r="E2" s="94" t="s">
        <v>449</v>
      </c>
      <c r="G2" s="73" t="s">
        <v>63</v>
      </c>
      <c r="N2" s="84" t="s">
        <v>435</v>
      </c>
      <c r="O2" s="85" t="s">
        <v>436</v>
      </c>
      <c r="P2" s="85" t="s">
        <v>437</v>
      </c>
      <c r="Q2" s="85" t="s">
        <v>438</v>
      </c>
      <c r="R2" s="85" t="s">
        <v>439</v>
      </c>
      <c r="T2" s="149" t="s">
        <v>509</v>
      </c>
      <c r="U2" s="85" t="s">
        <v>504</v>
      </c>
      <c r="V2" s="85" t="s">
        <v>505</v>
      </c>
      <c r="W2" s="85" t="s">
        <v>506</v>
      </c>
      <c r="X2" s="85" t="s">
        <v>507</v>
      </c>
      <c r="Y2" s="85" t="s">
        <v>508</v>
      </c>
    </row>
    <row r="3" spans="1:25">
      <c r="A3" s="24" t="s">
        <v>253</v>
      </c>
      <c r="B3" s="21" t="s">
        <v>254</v>
      </c>
      <c r="C3" s="123">
        <v>22500</v>
      </c>
      <c r="G3" s="74" t="s">
        <v>326</v>
      </c>
      <c r="T3" s="11" t="s">
        <v>502</v>
      </c>
      <c r="U3" s="11">
        <v>122</v>
      </c>
      <c r="V3" s="70">
        <v>0.03</v>
      </c>
      <c r="W3" s="11">
        <v>50000</v>
      </c>
      <c r="X3" s="11">
        <f>V3*W3</f>
        <v>1500</v>
      </c>
      <c r="Y3" s="81">
        <f>W3/U3</f>
        <v>409.8360655737705</v>
      </c>
    </row>
    <row r="4" spans="1:25">
      <c r="A4" s="22" t="s">
        <v>202</v>
      </c>
      <c r="B4" s="20" t="s">
        <v>203</v>
      </c>
      <c r="C4" s="122">
        <v>21000</v>
      </c>
      <c r="G4" s="73" t="s">
        <v>67</v>
      </c>
      <c r="L4" s="77" t="s">
        <v>426</v>
      </c>
      <c r="M4" s="11"/>
      <c r="N4" s="11">
        <v>1715</v>
      </c>
      <c r="O4" s="79">
        <f t="shared" ref="O4:O10" si="0">N4/$N$12</f>
        <v>7.9414325140306358E-2</v>
      </c>
      <c r="P4" s="11">
        <v>150</v>
      </c>
      <c r="Q4" s="11">
        <f>N4*P4</f>
        <v>257250</v>
      </c>
      <c r="R4" s="80">
        <f t="shared" ref="R4:R10" si="1">Q4/$Q$12</f>
        <v>0.13422065928561738</v>
      </c>
      <c r="T4" s="11" t="s">
        <v>20</v>
      </c>
      <c r="U4" s="11">
        <v>212</v>
      </c>
      <c r="V4" s="148">
        <v>5.0799999999999998E-2</v>
      </c>
      <c r="W4" s="11">
        <v>100000</v>
      </c>
      <c r="X4" s="11">
        <f t="shared" ref="X4:X8" si="2">V4*W4</f>
        <v>5080</v>
      </c>
      <c r="Y4" s="81">
        <f t="shared" ref="Y4:Y8" si="3">W4/U4</f>
        <v>471.69811320754718</v>
      </c>
    </row>
    <row r="5" spans="1:25">
      <c r="A5" s="24" t="s">
        <v>234</v>
      </c>
      <c r="B5" s="21" t="s">
        <v>15</v>
      </c>
      <c r="C5" s="123">
        <v>19000</v>
      </c>
      <c r="G5" s="74" t="s">
        <v>327</v>
      </c>
      <c r="L5" s="77" t="s">
        <v>427</v>
      </c>
      <c r="M5" s="11"/>
      <c r="N5" s="11">
        <v>5224</v>
      </c>
      <c r="O5" s="79">
        <f t="shared" si="0"/>
        <v>0.24190112800755711</v>
      </c>
      <c r="P5" s="11">
        <v>50</v>
      </c>
      <c r="Q5" s="11">
        <f t="shared" ref="Q5:Q10" si="4">N5*P5</f>
        <v>261200</v>
      </c>
      <c r="R5" s="80">
        <f t="shared" si="1"/>
        <v>0.1362815790297503</v>
      </c>
      <c r="T5" s="11" t="s">
        <v>348</v>
      </c>
      <c r="U5" s="11">
        <v>135</v>
      </c>
      <c r="V5" s="148">
        <v>3.3300000000000003E-2</v>
      </c>
      <c r="W5" s="11">
        <v>100000</v>
      </c>
      <c r="X5" s="11">
        <f t="shared" si="2"/>
        <v>3330.0000000000005</v>
      </c>
      <c r="Y5" s="81">
        <f t="shared" si="3"/>
        <v>740.74074074074076</v>
      </c>
    </row>
    <row r="6" spans="1:25">
      <c r="A6" s="24" t="s">
        <v>292</v>
      </c>
      <c r="B6" s="21" t="s">
        <v>293</v>
      </c>
      <c r="C6" s="123">
        <v>19000</v>
      </c>
      <c r="G6" s="73" t="s">
        <v>328</v>
      </c>
      <c r="L6" s="77" t="s">
        <v>428</v>
      </c>
      <c r="M6" s="11"/>
      <c r="N6" s="11">
        <v>910</v>
      </c>
      <c r="O6" s="79">
        <f t="shared" si="0"/>
        <v>4.2138213339754399E-2</v>
      </c>
      <c r="P6" s="11">
        <v>300</v>
      </c>
      <c r="Q6" s="11">
        <f t="shared" si="4"/>
        <v>273000</v>
      </c>
      <c r="R6" s="80">
        <f t="shared" si="1"/>
        <v>0.1424382506704511</v>
      </c>
      <c r="T6" s="11" t="s">
        <v>503</v>
      </c>
      <c r="U6" s="11">
        <v>113</v>
      </c>
      <c r="V6" s="148">
        <v>0.1072</v>
      </c>
      <c r="W6" s="11">
        <v>200000</v>
      </c>
      <c r="X6" s="11">
        <f t="shared" si="2"/>
        <v>21440</v>
      </c>
      <c r="Y6" s="81">
        <f t="shared" si="3"/>
        <v>1769.9115044247787</v>
      </c>
    </row>
    <row r="7" spans="1:25">
      <c r="A7" s="24" t="s">
        <v>280</v>
      </c>
      <c r="B7" s="21" t="s">
        <v>281</v>
      </c>
      <c r="C7" s="123">
        <v>17000</v>
      </c>
      <c r="G7" s="74" t="s">
        <v>5</v>
      </c>
      <c r="L7" s="77" t="s">
        <v>429</v>
      </c>
      <c r="M7" s="11"/>
      <c r="N7" s="11">
        <v>7435</v>
      </c>
      <c r="O7" s="79">
        <f t="shared" si="0"/>
        <v>0.34428309470447688</v>
      </c>
      <c r="P7" s="11">
        <v>40</v>
      </c>
      <c r="Q7" s="11">
        <f t="shared" si="4"/>
        <v>297400</v>
      </c>
      <c r="R7" s="80">
        <f t="shared" si="1"/>
        <v>0.15516899541901891</v>
      </c>
      <c r="T7" s="11" t="s">
        <v>46</v>
      </c>
      <c r="U7" s="11">
        <v>301</v>
      </c>
      <c r="V7" s="148">
        <v>5.9299999999999999E-2</v>
      </c>
      <c r="W7" s="11">
        <v>100000</v>
      </c>
      <c r="X7" s="11">
        <f t="shared" si="2"/>
        <v>5930</v>
      </c>
      <c r="Y7" s="81">
        <f t="shared" si="3"/>
        <v>332.22591362126246</v>
      </c>
    </row>
    <row r="8" spans="1:25">
      <c r="A8" s="22" t="s">
        <v>255</v>
      </c>
      <c r="B8" s="20" t="s">
        <v>256</v>
      </c>
      <c r="C8" s="122">
        <v>16000</v>
      </c>
      <c r="G8" s="73" t="s">
        <v>6</v>
      </c>
      <c r="L8" s="77" t="s">
        <v>430</v>
      </c>
      <c r="M8" s="11"/>
      <c r="N8" s="11">
        <v>128.6</v>
      </c>
      <c r="O8" s="79">
        <f t="shared" si="0"/>
        <v>5.9549167422993576E-3</v>
      </c>
      <c r="P8" s="11">
        <v>2000</v>
      </c>
      <c r="Q8" s="11">
        <f t="shared" si="4"/>
        <v>257200</v>
      </c>
      <c r="R8" s="80">
        <f t="shared" si="1"/>
        <v>0.13419457169391952</v>
      </c>
      <c r="T8" s="11" t="s">
        <v>10</v>
      </c>
      <c r="U8" s="11">
        <v>145</v>
      </c>
      <c r="V8" s="148">
        <v>3.5000000000000003E-2</v>
      </c>
      <c r="W8" s="11">
        <v>50000</v>
      </c>
      <c r="X8" s="11">
        <f t="shared" si="2"/>
        <v>1750.0000000000002</v>
      </c>
      <c r="Y8" s="81">
        <f t="shared" si="3"/>
        <v>344.82758620689657</v>
      </c>
    </row>
    <row r="9" spans="1:25">
      <c r="A9" s="22" t="s">
        <v>267</v>
      </c>
      <c r="B9" s="20" t="s">
        <v>268</v>
      </c>
      <c r="C9" s="122">
        <v>13500</v>
      </c>
      <c r="G9" s="74" t="s">
        <v>221</v>
      </c>
      <c r="L9" s="78" t="s">
        <v>431</v>
      </c>
      <c r="M9" s="11"/>
      <c r="N9" s="11">
        <v>1722</v>
      </c>
      <c r="O9" s="79">
        <f t="shared" si="0"/>
        <v>7.9738465242919859E-2</v>
      </c>
      <c r="P9" s="11">
        <v>150</v>
      </c>
      <c r="Q9" s="11">
        <f t="shared" si="4"/>
        <v>258300</v>
      </c>
      <c r="R9" s="80">
        <f t="shared" si="1"/>
        <v>0.13476849871127297</v>
      </c>
      <c r="T9" s="11"/>
      <c r="U9" s="11"/>
      <c r="V9" s="11"/>
      <c r="W9" s="11"/>
      <c r="X9" s="11"/>
      <c r="Y9" s="11"/>
    </row>
    <row r="10" spans="1:25">
      <c r="A10" s="22" t="s">
        <v>73</v>
      </c>
      <c r="B10" s="20" t="s">
        <v>74</v>
      </c>
      <c r="C10" s="122">
        <v>11700</v>
      </c>
      <c r="G10" s="73" t="s">
        <v>74</v>
      </c>
      <c r="L10" s="77" t="s">
        <v>432</v>
      </c>
      <c r="M10" s="11"/>
      <c r="N10" s="11">
        <v>4461</v>
      </c>
      <c r="O10" s="79">
        <f t="shared" si="0"/>
        <v>0.20656985682268611</v>
      </c>
      <c r="P10" s="11">
        <v>70</v>
      </c>
      <c r="Q10" s="11">
        <f t="shared" si="4"/>
        <v>312270</v>
      </c>
      <c r="R10" s="80">
        <f t="shared" si="1"/>
        <v>0.16292744518996985</v>
      </c>
      <c r="T10" s="11"/>
      <c r="U10" s="11"/>
      <c r="V10" s="11"/>
      <c r="W10" s="11">
        <f>SUM(W3:W9)</f>
        <v>600000</v>
      </c>
      <c r="X10" s="11">
        <f>SUM(X3:X9)</f>
        <v>39030</v>
      </c>
      <c r="Y10" s="150">
        <f>X10/W10</f>
        <v>6.5049999999999997E-2</v>
      </c>
    </row>
    <row r="11" spans="1:25">
      <c r="A11" s="22" t="s">
        <v>112</v>
      </c>
      <c r="B11" s="20" t="s">
        <v>113</v>
      </c>
      <c r="C11" s="122">
        <v>10000</v>
      </c>
      <c r="G11" s="74" t="s">
        <v>329</v>
      </c>
      <c r="M11" s="11"/>
      <c r="N11" s="11"/>
      <c r="O11" s="11"/>
      <c r="P11" s="11"/>
      <c r="Q11" s="11"/>
      <c r="R11" s="11"/>
    </row>
    <row r="12" spans="1:25">
      <c r="A12" s="22" t="s">
        <v>214</v>
      </c>
      <c r="B12" s="20" t="s">
        <v>215</v>
      </c>
      <c r="C12" s="122">
        <v>4500</v>
      </c>
      <c r="D12" s="93"/>
      <c r="G12" s="73" t="s">
        <v>330</v>
      </c>
      <c r="M12" s="11"/>
      <c r="N12" s="81">
        <f>SUM(N4:N11)</f>
        <v>21595.599999999999</v>
      </c>
      <c r="O12" s="11"/>
      <c r="P12" s="11"/>
      <c r="Q12" s="11">
        <f>SUM(Q4:Q11)</f>
        <v>1916620</v>
      </c>
      <c r="R12" s="70">
        <f>SUM(R4:R11)</f>
        <v>1</v>
      </c>
    </row>
    <row r="13" spans="1:25">
      <c r="A13" s="24" t="s">
        <v>241</v>
      </c>
      <c r="B13" s="21" t="s">
        <v>242</v>
      </c>
      <c r="C13" s="123">
        <v>8300</v>
      </c>
      <c r="G13" s="74" t="s">
        <v>331</v>
      </c>
      <c r="Q13" s="76">
        <f>R49/Q12</f>
        <v>0.40560497125147393</v>
      </c>
    </row>
    <row r="14" spans="1:25">
      <c r="A14" s="24" t="s">
        <v>169</v>
      </c>
      <c r="B14" s="21" t="s">
        <v>170</v>
      </c>
      <c r="C14" s="123">
        <v>7700</v>
      </c>
      <c r="G14" s="73" t="s">
        <v>332</v>
      </c>
    </row>
    <row r="15" spans="1:25">
      <c r="A15" s="22" t="s">
        <v>271</v>
      </c>
      <c r="B15" s="20" t="s">
        <v>272</v>
      </c>
      <c r="C15" s="122">
        <v>7600</v>
      </c>
      <c r="G15" s="74" t="s">
        <v>333</v>
      </c>
      <c r="L15" t="s">
        <v>434</v>
      </c>
      <c r="M15" s="288">
        <v>44346</v>
      </c>
      <c r="N15" s="288"/>
    </row>
    <row r="16" spans="1:25">
      <c r="A16" s="24" t="s">
        <v>157</v>
      </c>
      <c r="B16" s="21" t="s">
        <v>158</v>
      </c>
      <c r="C16" s="123">
        <v>7000</v>
      </c>
      <c r="G16" s="73" t="s">
        <v>334</v>
      </c>
      <c r="L16" s="86" t="s">
        <v>0</v>
      </c>
      <c r="M16" s="86" t="s">
        <v>1</v>
      </c>
      <c r="N16" s="86" t="s">
        <v>2</v>
      </c>
      <c r="O16" s="86" t="s">
        <v>3</v>
      </c>
      <c r="P16" s="86" t="s">
        <v>445</v>
      </c>
      <c r="Q16" s="86" t="s">
        <v>446</v>
      </c>
      <c r="R16" s="11"/>
    </row>
    <row r="17" spans="1:18">
      <c r="A17" s="24" t="s">
        <v>165</v>
      </c>
      <c r="B17" s="21" t="s">
        <v>166</v>
      </c>
      <c r="C17" s="123">
        <v>6700</v>
      </c>
      <c r="G17" s="74" t="s">
        <v>335</v>
      </c>
      <c r="L17" s="87" t="s">
        <v>440</v>
      </c>
      <c r="M17" s="87">
        <v>5</v>
      </c>
      <c r="N17" s="88">
        <v>1553.93</v>
      </c>
      <c r="O17" s="88">
        <v>2306.0500000000002</v>
      </c>
      <c r="P17" s="89">
        <f>M17*N17</f>
        <v>7769.6500000000005</v>
      </c>
      <c r="Q17" s="89">
        <f>M17*O17</f>
        <v>11530.25</v>
      </c>
      <c r="R17" s="11" t="s">
        <v>447</v>
      </c>
    </row>
    <row r="18" spans="1:18">
      <c r="A18" s="22" t="s">
        <v>139</v>
      </c>
      <c r="B18" s="20" t="s">
        <v>140</v>
      </c>
      <c r="C18" s="122">
        <v>6500</v>
      </c>
      <c r="G18" s="73" t="s">
        <v>336</v>
      </c>
      <c r="L18" s="87" t="s">
        <v>4</v>
      </c>
      <c r="M18" s="87">
        <v>20</v>
      </c>
      <c r="N18" s="88">
        <v>1526.67</v>
      </c>
      <c r="O18" s="88">
        <v>2940.7</v>
      </c>
      <c r="P18" s="89">
        <f t="shared" ref="P18:P48" si="5">M18*N18</f>
        <v>30533.4</v>
      </c>
      <c r="Q18" s="89">
        <f t="shared" ref="Q18:Q48" si="6">M18*O18</f>
        <v>58814</v>
      </c>
      <c r="R18" s="11"/>
    </row>
    <row r="19" spans="1:18">
      <c r="A19" s="24" t="s">
        <v>173</v>
      </c>
      <c r="B19" s="21" t="s">
        <v>174</v>
      </c>
      <c r="C19" s="123">
        <v>6200</v>
      </c>
      <c r="G19" s="74" t="s">
        <v>337</v>
      </c>
      <c r="L19" s="87" t="s">
        <v>5</v>
      </c>
      <c r="M19" s="87">
        <v>50</v>
      </c>
      <c r="N19" s="88">
        <v>2123.4</v>
      </c>
      <c r="O19" s="88">
        <v>5610.75</v>
      </c>
      <c r="P19" s="89">
        <f t="shared" si="5"/>
        <v>106170</v>
      </c>
      <c r="Q19" s="89">
        <f t="shared" si="6"/>
        <v>280537.5</v>
      </c>
      <c r="R19" s="11"/>
    </row>
    <row r="20" spans="1:18">
      <c r="A20" s="22" t="s">
        <v>314</v>
      </c>
      <c r="B20" s="20" t="s">
        <v>315</v>
      </c>
      <c r="C20" s="122">
        <v>6200</v>
      </c>
      <c r="G20" s="73" t="s">
        <v>338</v>
      </c>
      <c r="L20" s="87" t="s">
        <v>6</v>
      </c>
      <c r="M20" s="87">
        <v>7</v>
      </c>
      <c r="N20" s="88">
        <v>4619.5</v>
      </c>
      <c r="O20" s="88">
        <v>11713.2</v>
      </c>
      <c r="P20" s="89">
        <f t="shared" si="5"/>
        <v>32336.5</v>
      </c>
      <c r="Q20" s="89">
        <f t="shared" si="6"/>
        <v>81992.400000000009</v>
      </c>
      <c r="R20" s="11"/>
    </row>
    <row r="21" spans="1:18">
      <c r="A21" s="24" t="s">
        <v>114</v>
      </c>
      <c r="B21" s="21" t="s">
        <v>115</v>
      </c>
      <c r="C21" s="123">
        <v>6100</v>
      </c>
      <c r="G21" s="74" t="s">
        <v>113</v>
      </c>
      <c r="L21" s="87" t="s">
        <v>7</v>
      </c>
      <c r="M21" s="87">
        <v>20</v>
      </c>
      <c r="N21" s="87">
        <v>777.94</v>
      </c>
      <c r="O21" s="88">
        <v>2190.85</v>
      </c>
      <c r="P21" s="89">
        <f t="shared" si="5"/>
        <v>15558.800000000001</v>
      </c>
      <c r="Q21" s="89">
        <f t="shared" si="6"/>
        <v>43817</v>
      </c>
      <c r="R21" s="11"/>
    </row>
    <row r="22" spans="1:18">
      <c r="A22" s="22" t="s">
        <v>247</v>
      </c>
      <c r="B22" s="20" t="s">
        <v>248</v>
      </c>
      <c r="C22" s="122">
        <v>6000</v>
      </c>
      <c r="G22" s="73" t="s">
        <v>119</v>
      </c>
      <c r="L22" s="75" t="s">
        <v>9</v>
      </c>
      <c r="M22" s="75">
        <v>100</v>
      </c>
      <c r="N22" s="75">
        <v>289.32</v>
      </c>
      <c r="O22" s="75">
        <v>382.15</v>
      </c>
      <c r="P22" s="11">
        <f t="shared" si="5"/>
        <v>28932</v>
      </c>
      <c r="Q22" s="11">
        <f t="shared" si="6"/>
        <v>38215</v>
      </c>
      <c r="R22" s="11">
        <v>38215</v>
      </c>
    </row>
    <row r="23" spans="1:18">
      <c r="A23" s="24" t="s">
        <v>180</v>
      </c>
      <c r="B23" s="21" t="s">
        <v>181</v>
      </c>
      <c r="C23" s="123">
        <v>6000</v>
      </c>
      <c r="G23" s="74" t="s">
        <v>339</v>
      </c>
      <c r="L23" s="75" t="s">
        <v>32</v>
      </c>
      <c r="M23" s="75">
        <v>12</v>
      </c>
      <c r="N23" s="90">
        <v>3708.88</v>
      </c>
      <c r="O23" s="90">
        <v>3423.45</v>
      </c>
      <c r="P23" s="11">
        <f t="shared" si="5"/>
        <v>44506.559999999998</v>
      </c>
      <c r="Q23" s="11">
        <f t="shared" si="6"/>
        <v>41081.399999999994</v>
      </c>
      <c r="R23" s="11">
        <v>41081.399999999994</v>
      </c>
    </row>
    <row r="24" spans="1:18">
      <c r="A24" s="22" t="s">
        <v>167</v>
      </c>
      <c r="B24" s="20" t="s">
        <v>168</v>
      </c>
      <c r="C24" s="122">
        <v>5700</v>
      </c>
      <c r="G24" s="73" t="s">
        <v>340</v>
      </c>
      <c r="L24" s="75" t="s">
        <v>441</v>
      </c>
      <c r="M24" s="75">
        <v>25</v>
      </c>
      <c r="N24" s="75">
        <v>797.86</v>
      </c>
      <c r="O24" s="90">
        <v>1794.3</v>
      </c>
      <c r="P24" s="11">
        <f t="shared" si="5"/>
        <v>19946.5</v>
      </c>
      <c r="Q24" s="11">
        <f t="shared" si="6"/>
        <v>44857.5</v>
      </c>
      <c r="R24" s="11">
        <v>44857.5</v>
      </c>
    </row>
    <row r="25" spans="1:18">
      <c r="A25" s="24" t="s">
        <v>188</v>
      </c>
      <c r="B25" s="21" t="s">
        <v>189</v>
      </c>
      <c r="C25" s="123">
        <v>5700</v>
      </c>
      <c r="G25" s="74" t="s">
        <v>341</v>
      </c>
      <c r="L25" s="75" t="s">
        <v>338</v>
      </c>
      <c r="M25" s="75">
        <v>2</v>
      </c>
      <c r="N25" s="90">
        <v>1283.1600000000001</v>
      </c>
      <c r="O25" s="90">
        <v>1162.3499999999999</v>
      </c>
      <c r="P25" s="11">
        <f t="shared" si="5"/>
        <v>2566.3200000000002</v>
      </c>
      <c r="Q25" s="11">
        <f t="shared" si="6"/>
        <v>2324.6999999999998</v>
      </c>
      <c r="R25" s="11">
        <v>2324.6999999999998</v>
      </c>
    </row>
    <row r="26" spans="1:18">
      <c r="A26" s="24" t="s">
        <v>222</v>
      </c>
      <c r="B26" s="21" t="s">
        <v>223</v>
      </c>
      <c r="C26" s="123">
        <v>5400</v>
      </c>
      <c r="G26" s="73" t="s">
        <v>342</v>
      </c>
      <c r="L26" s="87" t="s">
        <v>11</v>
      </c>
      <c r="M26" s="87">
        <v>40</v>
      </c>
      <c r="N26" s="87">
        <v>290.88</v>
      </c>
      <c r="O26" s="87">
        <v>745</v>
      </c>
      <c r="P26" s="89">
        <f t="shared" si="5"/>
        <v>11635.2</v>
      </c>
      <c r="Q26" s="89">
        <f t="shared" si="6"/>
        <v>29800</v>
      </c>
      <c r="R26" s="11"/>
    </row>
    <row r="27" spans="1:18">
      <c r="A27" s="22" t="s">
        <v>66</v>
      </c>
      <c r="B27" s="20" t="s">
        <v>67</v>
      </c>
      <c r="C27" s="122">
        <v>5000</v>
      </c>
      <c r="G27" s="74" t="s">
        <v>130</v>
      </c>
      <c r="L27" s="87" t="s">
        <v>45</v>
      </c>
      <c r="M27" s="87">
        <v>16</v>
      </c>
      <c r="N27" s="87">
        <v>940.13</v>
      </c>
      <c r="O27" s="87">
        <v>942.55</v>
      </c>
      <c r="P27" s="89">
        <f t="shared" si="5"/>
        <v>15042.08</v>
      </c>
      <c r="Q27" s="89">
        <f t="shared" si="6"/>
        <v>15080.8</v>
      </c>
      <c r="R27" s="11"/>
    </row>
    <row r="28" spans="1:18">
      <c r="A28" s="22" t="s">
        <v>294</v>
      </c>
      <c r="B28" s="20" t="s">
        <v>295</v>
      </c>
      <c r="C28" s="122">
        <v>5000</v>
      </c>
      <c r="G28" s="73" t="s">
        <v>15</v>
      </c>
      <c r="L28" s="87" t="s">
        <v>12</v>
      </c>
      <c r="M28" s="87">
        <v>30</v>
      </c>
      <c r="N28" s="87">
        <v>873.77</v>
      </c>
      <c r="O28" s="88">
        <v>1503.45</v>
      </c>
      <c r="P28" s="89">
        <f t="shared" si="5"/>
        <v>26213.1</v>
      </c>
      <c r="Q28" s="89">
        <f t="shared" si="6"/>
        <v>45103.5</v>
      </c>
      <c r="R28" s="11"/>
    </row>
    <row r="29" spans="1:18">
      <c r="A29" s="22" t="s">
        <v>290</v>
      </c>
      <c r="B29" s="20" t="s">
        <v>291</v>
      </c>
      <c r="C29" s="122">
        <v>4300</v>
      </c>
      <c r="G29" s="74" t="s">
        <v>313</v>
      </c>
      <c r="L29" s="87" t="s">
        <v>442</v>
      </c>
      <c r="M29" s="87">
        <v>15</v>
      </c>
      <c r="N29" s="87">
        <v>690.36</v>
      </c>
      <c r="O29" s="87">
        <v>668.95</v>
      </c>
      <c r="P29" s="89">
        <f t="shared" si="5"/>
        <v>10355.4</v>
      </c>
      <c r="Q29" s="89">
        <f t="shared" si="6"/>
        <v>10034.25</v>
      </c>
      <c r="R29" s="11"/>
    </row>
    <row r="30" spans="1:18">
      <c r="A30" s="22" t="s">
        <v>92</v>
      </c>
      <c r="B30" s="20" t="s">
        <v>93</v>
      </c>
      <c r="C30" s="122">
        <v>4200</v>
      </c>
      <c r="G30" s="73" t="s">
        <v>236</v>
      </c>
      <c r="L30" s="75" t="s">
        <v>13</v>
      </c>
      <c r="M30" s="75">
        <v>60</v>
      </c>
      <c r="N30" s="90">
        <v>2065.59</v>
      </c>
      <c r="O30" s="90">
        <v>2172.9499999999998</v>
      </c>
      <c r="P30" s="11">
        <f t="shared" si="5"/>
        <v>123935.40000000001</v>
      </c>
      <c r="Q30" s="11">
        <f t="shared" si="6"/>
        <v>130376.99999999999</v>
      </c>
      <c r="R30" s="11">
        <v>130376.99999999999</v>
      </c>
    </row>
    <row r="31" spans="1:18">
      <c r="A31" s="24" t="s">
        <v>245</v>
      </c>
      <c r="B31" s="21" t="s">
        <v>246</v>
      </c>
      <c r="C31" s="123">
        <v>4000</v>
      </c>
      <c r="G31" s="74" t="s">
        <v>343</v>
      </c>
      <c r="L31" s="87" t="s">
        <v>14</v>
      </c>
      <c r="M31" s="87">
        <v>33</v>
      </c>
      <c r="N31" s="88">
        <v>2045.31</v>
      </c>
      <c r="O31" s="88">
        <v>2321.6999999999998</v>
      </c>
      <c r="P31" s="89">
        <f t="shared" si="5"/>
        <v>67495.23</v>
      </c>
      <c r="Q31" s="89">
        <f t="shared" si="6"/>
        <v>76616.099999999991</v>
      </c>
      <c r="R31" s="11"/>
    </row>
    <row r="32" spans="1:18">
      <c r="A32" s="24" t="s">
        <v>176</v>
      </c>
      <c r="B32" s="21" t="s">
        <v>177</v>
      </c>
      <c r="C32" s="123">
        <v>4000</v>
      </c>
      <c r="G32" s="73" t="s">
        <v>295</v>
      </c>
      <c r="L32" s="75" t="s">
        <v>15</v>
      </c>
      <c r="M32" s="75">
        <v>700</v>
      </c>
      <c r="N32" s="75">
        <v>0</v>
      </c>
      <c r="O32" s="75">
        <v>59.15</v>
      </c>
      <c r="P32" s="11">
        <f t="shared" si="5"/>
        <v>0</v>
      </c>
      <c r="Q32" s="11">
        <f t="shared" si="6"/>
        <v>41405</v>
      </c>
      <c r="R32" s="11">
        <v>41405</v>
      </c>
    </row>
    <row r="33" spans="1:18">
      <c r="A33" s="24" t="s">
        <v>110</v>
      </c>
      <c r="B33" s="21" t="s">
        <v>111</v>
      </c>
      <c r="C33" s="25">
        <v>3600</v>
      </c>
      <c r="G33" s="74" t="s">
        <v>344</v>
      </c>
      <c r="L33" s="75" t="s">
        <v>16</v>
      </c>
      <c r="M33" s="75">
        <v>700</v>
      </c>
      <c r="N33" s="75">
        <v>138.4</v>
      </c>
      <c r="O33" s="75">
        <v>56.65</v>
      </c>
      <c r="P33" s="11">
        <f t="shared" si="5"/>
        <v>96880</v>
      </c>
      <c r="Q33" s="11">
        <f t="shared" si="6"/>
        <v>39655</v>
      </c>
      <c r="R33" s="11">
        <v>39655</v>
      </c>
    </row>
    <row r="34" spans="1:18">
      <c r="A34" s="24" t="s">
        <v>102</v>
      </c>
      <c r="B34" s="21" t="s">
        <v>103</v>
      </c>
      <c r="C34" s="25">
        <v>3300</v>
      </c>
      <c r="G34" s="73" t="s">
        <v>345</v>
      </c>
      <c r="L34" s="75" t="s">
        <v>17</v>
      </c>
      <c r="M34" s="75">
        <v>75</v>
      </c>
      <c r="N34" s="75">
        <v>295.89999999999998</v>
      </c>
      <c r="O34" s="75">
        <v>215.25</v>
      </c>
      <c r="P34" s="11">
        <f t="shared" si="5"/>
        <v>22192.5</v>
      </c>
      <c r="Q34" s="11">
        <f t="shared" si="6"/>
        <v>16143.75</v>
      </c>
      <c r="R34" s="11">
        <v>16143.75</v>
      </c>
    </row>
    <row r="35" spans="1:18">
      <c r="A35" s="22" t="s">
        <v>239</v>
      </c>
      <c r="B35" s="20" t="s">
        <v>240</v>
      </c>
      <c r="C35" s="23">
        <v>3200</v>
      </c>
      <c r="G35" s="74" t="s">
        <v>346</v>
      </c>
      <c r="L35" s="75" t="s">
        <v>18</v>
      </c>
      <c r="M35" s="75">
        <v>100</v>
      </c>
      <c r="N35" s="75">
        <v>413.4</v>
      </c>
      <c r="O35" s="75">
        <v>513.65</v>
      </c>
      <c r="P35" s="11">
        <f t="shared" si="5"/>
        <v>41340</v>
      </c>
      <c r="Q35" s="11">
        <f t="shared" si="6"/>
        <v>51365</v>
      </c>
      <c r="R35" s="11">
        <v>51365</v>
      </c>
    </row>
    <row r="36" spans="1:18">
      <c r="A36" s="22" t="s">
        <v>210</v>
      </c>
      <c r="B36" s="20" t="s">
        <v>211</v>
      </c>
      <c r="C36" s="23">
        <v>3200</v>
      </c>
      <c r="G36" s="73" t="s">
        <v>248</v>
      </c>
      <c r="L36" s="87" t="s">
        <v>19</v>
      </c>
      <c r="M36" s="87">
        <v>20</v>
      </c>
      <c r="N36" s="87">
        <v>579.04999999999995</v>
      </c>
      <c r="O36" s="88">
        <v>1405.05</v>
      </c>
      <c r="P36" s="89">
        <f t="shared" si="5"/>
        <v>11581</v>
      </c>
      <c r="Q36" s="89">
        <f t="shared" si="6"/>
        <v>28101</v>
      </c>
      <c r="R36" s="11"/>
    </row>
    <row r="37" spans="1:18">
      <c r="A37" s="24" t="s">
        <v>312</v>
      </c>
      <c r="B37" s="21" t="s">
        <v>313</v>
      </c>
      <c r="C37" s="25">
        <v>3100</v>
      </c>
      <c r="G37" s="74" t="s">
        <v>347</v>
      </c>
      <c r="L37" s="75" t="s">
        <v>20</v>
      </c>
      <c r="M37" s="75">
        <v>750</v>
      </c>
      <c r="N37" s="75">
        <v>111.66</v>
      </c>
      <c r="O37" s="75">
        <v>212.9</v>
      </c>
      <c r="P37" s="11">
        <f t="shared" si="5"/>
        <v>83745</v>
      </c>
      <c r="Q37" s="11">
        <f t="shared" si="6"/>
        <v>159675</v>
      </c>
      <c r="R37" s="11">
        <v>159675</v>
      </c>
    </row>
    <row r="38" spans="1:18">
      <c r="A38" s="24" t="s">
        <v>64</v>
      </c>
      <c r="B38" s="21" t="s">
        <v>65</v>
      </c>
      <c r="C38" s="25">
        <v>3000</v>
      </c>
      <c r="G38" s="73" t="s">
        <v>158</v>
      </c>
      <c r="L38" s="75" t="s">
        <v>443</v>
      </c>
      <c r="M38" s="75">
        <v>5</v>
      </c>
      <c r="N38" s="90">
        <v>1349.6</v>
      </c>
      <c r="O38" s="90">
        <v>1800.75</v>
      </c>
      <c r="P38" s="11">
        <f t="shared" si="5"/>
        <v>6748</v>
      </c>
      <c r="Q38" s="11">
        <f t="shared" si="6"/>
        <v>9003.75</v>
      </c>
      <c r="R38" s="11">
        <v>9003.75</v>
      </c>
    </row>
    <row r="39" spans="1:18">
      <c r="A39" s="22" t="s">
        <v>251</v>
      </c>
      <c r="B39" s="20" t="s">
        <v>252</v>
      </c>
      <c r="C39" s="23">
        <v>3000</v>
      </c>
      <c r="G39" s="74" t="s">
        <v>299</v>
      </c>
      <c r="L39" s="75" t="s">
        <v>345</v>
      </c>
      <c r="M39" s="75">
        <v>10</v>
      </c>
      <c r="N39" s="75">
        <v>422.21</v>
      </c>
      <c r="O39" s="75">
        <v>455.95</v>
      </c>
      <c r="P39" s="11">
        <f t="shared" si="5"/>
        <v>4222.0999999999995</v>
      </c>
      <c r="Q39" s="11">
        <f t="shared" si="6"/>
        <v>4559.5</v>
      </c>
      <c r="R39" s="11">
        <v>4559.5</v>
      </c>
    </row>
    <row r="40" spans="1:18">
      <c r="A40" s="22" t="s">
        <v>263</v>
      </c>
      <c r="B40" s="20" t="s">
        <v>264</v>
      </c>
      <c r="C40" s="23">
        <v>3000</v>
      </c>
      <c r="G40" s="73" t="s">
        <v>44</v>
      </c>
      <c r="L40" s="75" t="s">
        <v>21</v>
      </c>
      <c r="M40" s="75">
        <v>20</v>
      </c>
      <c r="N40" s="75">
        <v>243.25</v>
      </c>
      <c r="O40" s="75">
        <v>471.05</v>
      </c>
      <c r="P40" s="11">
        <f t="shared" si="5"/>
        <v>4865</v>
      </c>
      <c r="Q40" s="11">
        <f t="shared" si="6"/>
        <v>9421</v>
      </c>
      <c r="R40" s="11">
        <v>9421</v>
      </c>
    </row>
    <row r="41" spans="1:18">
      <c r="A41" s="22" t="s">
        <v>198</v>
      </c>
      <c r="B41" s="20" t="s">
        <v>199</v>
      </c>
      <c r="C41" s="23">
        <v>3000</v>
      </c>
      <c r="G41" s="74" t="s">
        <v>29</v>
      </c>
      <c r="L41" s="75" t="s">
        <v>444</v>
      </c>
      <c r="M41" s="75">
        <v>30</v>
      </c>
      <c r="N41" s="75">
        <v>145</v>
      </c>
      <c r="O41" s="75">
        <v>212.45</v>
      </c>
      <c r="P41" s="11">
        <f t="shared" si="5"/>
        <v>4350</v>
      </c>
      <c r="Q41" s="11">
        <f t="shared" si="6"/>
        <v>6373.5</v>
      </c>
      <c r="R41" s="11">
        <v>6373.5</v>
      </c>
    </row>
    <row r="42" spans="1:18">
      <c r="A42" s="24" t="s">
        <v>212</v>
      </c>
      <c r="B42" s="28" t="s">
        <v>213</v>
      </c>
      <c r="C42" s="25">
        <v>3000</v>
      </c>
      <c r="G42" s="73" t="s">
        <v>348</v>
      </c>
      <c r="L42" s="75" t="s">
        <v>22</v>
      </c>
      <c r="M42" s="75">
        <v>150</v>
      </c>
      <c r="N42" s="75">
        <v>116.63</v>
      </c>
      <c r="O42" s="75">
        <v>202</v>
      </c>
      <c r="P42" s="11">
        <f t="shared" si="5"/>
        <v>17494.5</v>
      </c>
      <c r="Q42" s="11">
        <f t="shared" si="6"/>
        <v>30300</v>
      </c>
      <c r="R42" s="11">
        <v>30300</v>
      </c>
    </row>
    <row r="43" spans="1:18">
      <c r="A43" s="22" t="s">
        <v>259</v>
      </c>
      <c r="B43" s="20" t="s">
        <v>260</v>
      </c>
      <c r="C43" s="23">
        <v>2900</v>
      </c>
      <c r="G43" s="74" t="s">
        <v>349</v>
      </c>
      <c r="L43" s="75" t="s">
        <v>23</v>
      </c>
      <c r="M43" s="75">
        <v>10</v>
      </c>
      <c r="N43" s="90">
        <v>1399.78</v>
      </c>
      <c r="O43" s="90">
        <v>2060</v>
      </c>
      <c r="P43" s="11">
        <f t="shared" si="5"/>
        <v>13997.8</v>
      </c>
      <c r="Q43" s="11">
        <f t="shared" si="6"/>
        <v>20600</v>
      </c>
      <c r="R43" s="11">
        <v>20600</v>
      </c>
    </row>
    <row r="44" spans="1:18">
      <c r="A44" s="24" t="s">
        <v>237</v>
      </c>
      <c r="B44" s="21" t="s">
        <v>238</v>
      </c>
      <c r="C44" s="25">
        <v>2800</v>
      </c>
      <c r="G44" s="73" t="s">
        <v>350</v>
      </c>
      <c r="L44" s="75" t="s">
        <v>24</v>
      </c>
      <c r="M44" s="75">
        <v>60</v>
      </c>
      <c r="N44" s="75">
        <v>624.32000000000005</v>
      </c>
      <c r="O44" s="90">
        <v>1120.95</v>
      </c>
      <c r="P44" s="11">
        <f t="shared" si="5"/>
        <v>37459.200000000004</v>
      </c>
      <c r="Q44" s="11">
        <f t="shared" si="6"/>
        <v>67257</v>
      </c>
      <c r="R44" s="11">
        <v>67257</v>
      </c>
    </row>
    <row r="45" spans="1:18">
      <c r="A45" s="22" t="s">
        <v>124</v>
      </c>
      <c r="B45" s="20" t="s">
        <v>125</v>
      </c>
      <c r="C45" s="23">
        <v>2700</v>
      </c>
      <c r="G45" s="74" t="s">
        <v>266</v>
      </c>
      <c r="L45" s="87" t="s">
        <v>25</v>
      </c>
      <c r="M45" s="87">
        <v>150</v>
      </c>
      <c r="N45" s="87">
        <v>312.98</v>
      </c>
      <c r="O45" s="88">
        <v>2094.8000000000002</v>
      </c>
      <c r="P45" s="89">
        <f t="shared" si="5"/>
        <v>46947</v>
      </c>
      <c r="Q45" s="89">
        <f t="shared" si="6"/>
        <v>314220</v>
      </c>
      <c r="R45" s="11"/>
    </row>
    <row r="46" spans="1:18">
      <c r="A46" s="24" t="s">
        <v>141</v>
      </c>
      <c r="B46" s="21" t="s">
        <v>142</v>
      </c>
      <c r="C46" s="25">
        <v>2700</v>
      </c>
      <c r="G46" s="73" t="s">
        <v>351</v>
      </c>
      <c r="L46" s="75" t="s">
        <v>26</v>
      </c>
      <c r="M46" s="75">
        <v>10</v>
      </c>
      <c r="N46" s="75">
        <v>443.45</v>
      </c>
      <c r="O46" s="75">
        <v>474.95</v>
      </c>
      <c r="P46" s="11">
        <f t="shared" si="5"/>
        <v>4434.5</v>
      </c>
      <c r="Q46" s="11">
        <f t="shared" si="6"/>
        <v>4749.5</v>
      </c>
      <c r="R46" s="11">
        <v>4749.5</v>
      </c>
    </row>
    <row r="47" spans="1:18">
      <c r="A47" s="22" t="s">
        <v>62</v>
      </c>
      <c r="B47" s="20" t="s">
        <v>63</v>
      </c>
      <c r="C47" s="23">
        <v>2500</v>
      </c>
      <c r="G47" s="74" t="s">
        <v>352</v>
      </c>
      <c r="L47" s="87" t="s">
        <v>27</v>
      </c>
      <c r="M47" s="87">
        <v>11</v>
      </c>
      <c r="N47" s="88">
        <v>1595.67</v>
      </c>
      <c r="O47" s="88">
        <v>3143.6</v>
      </c>
      <c r="P47" s="89">
        <f t="shared" si="5"/>
        <v>17552.370000000003</v>
      </c>
      <c r="Q47" s="89">
        <f t="shared" si="6"/>
        <v>34579.599999999999</v>
      </c>
      <c r="R47" s="11"/>
    </row>
    <row r="48" spans="1:18">
      <c r="A48" s="22" t="s">
        <v>88</v>
      </c>
      <c r="B48" s="20" t="s">
        <v>89</v>
      </c>
      <c r="C48" s="23">
        <v>2500</v>
      </c>
      <c r="G48" s="73" t="s">
        <v>189</v>
      </c>
      <c r="L48" s="75" t="s">
        <v>28</v>
      </c>
      <c r="M48" s="75">
        <v>60</v>
      </c>
      <c r="N48" s="75">
        <v>493.48</v>
      </c>
      <c r="O48" s="90">
        <v>1000.45</v>
      </c>
      <c r="P48" s="11">
        <f t="shared" si="5"/>
        <v>29608.800000000003</v>
      </c>
      <c r="Q48" s="11">
        <f t="shared" si="6"/>
        <v>60027</v>
      </c>
      <c r="R48" s="11">
        <v>60027</v>
      </c>
    </row>
    <row r="49" spans="1:19" ht="15" thickBot="1">
      <c r="A49" s="22" t="s">
        <v>278</v>
      </c>
      <c r="B49" s="20" t="s">
        <v>279</v>
      </c>
      <c r="C49" s="23">
        <v>2300</v>
      </c>
      <c r="G49" s="74" t="s">
        <v>353</v>
      </c>
      <c r="P49" s="13">
        <f>SUM(P17:P48)</f>
        <v>986413.91</v>
      </c>
      <c r="Q49" s="13">
        <f t="shared" ref="Q49:R49" si="7">SUM(Q17:Q48)</f>
        <v>1807617</v>
      </c>
      <c r="R49" s="13">
        <f t="shared" si="7"/>
        <v>777390.6</v>
      </c>
      <c r="S49" t="s">
        <v>448</v>
      </c>
    </row>
    <row r="50" spans="1:19" ht="15" thickTop="1">
      <c r="A50" s="24" t="s">
        <v>86</v>
      </c>
      <c r="B50" s="21" t="s">
        <v>87</v>
      </c>
      <c r="C50" s="25">
        <v>2200</v>
      </c>
      <c r="G50" s="73" t="s">
        <v>354</v>
      </c>
    </row>
    <row r="51" spans="1:19">
      <c r="A51" s="24" t="s">
        <v>60</v>
      </c>
      <c r="B51" s="21" t="s">
        <v>61</v>
      </c>
      <c r="C51" s="25">
        <v>2000</v>
      </c>
      <c r="G51" s="74" t="s">
        <v>355</v>
      </c>
    </row>
    <row r="52" spans="1:19">
      <c r="A52" s="22" t="s">
        <v>147</v>
      </c>
      <c r="B52" s="20" t="s">
        <v>148</v>
      </c>
      <c r="C52" s="23">
        <v>2000</v>
      </c>
    </row>
    <row r="53" spans="1:19">
      <c r="A53" s="24" t="s">
        <v>153</v>
      </c>
      <c r="B53" s="21" t="s">
        <v>154</v>
      </c>
      <c r="C53" s="25">
        <v>2000</v>
      </c>
    </row>
    <row r="54" spans="1:19">
      <c r="A54" s="22" t="s">
        <v>186</v>
      </c>
      <c r="B54" s="20" t="s">
        <v>187</v>
      </c>
      <c r="C54" s="23">
        <v>2000</v>
      </c>
    </row>
    <row r="55" spans="1:19">
      <c r="A55" s="24" t="s">
        <v>78</v>
      </c>
      <c r="B55" s="21" t="s">
        <v>79</v>
      </c>
      <c r="C55" s="25">
        <v>1851</v>
      </c>
    </row>
    <row r="56" spans="1:19">
      <c r="A56" s="22" t="s">
        <v>220</v>
      </c>
      <c r="B56" s="20" t="s">
        <v>221</v>
      </c>
      <c r="C56" s="23">
        <v>1800</v>
      </c>
    </row>
    <row r="57" spans="1:19">
      <c r="A57" s="24" t="s">
        <v>82</v>
      </c>
      <c r="B57" s="21" t="s">
        <v>83</v>
      </c>
      <c r="C57" s="25">
        <v>1800</v>
      </c>
    </row>
    <row r="58" spans="1:19">
      <c r="A58" s="22" t="s">
        <v>190</v>
      </c>
      <c r="B58" s="20" t="s">
        <v>191</v>
      </c>
      <c r="C58" s="23">
        <v>1700</v>
      </c>
    </row>
    <row r="59" spans="1:19">
      <c r="A59" s="24" t="s">
        <v>94</v>
      </c>
      <c r="B59" s="21" t="s">
        <v>95</v>
      </c>
      <c r="C59" s="25">
        <v>1563</v>
      </c>
    </row>
    <row r="60" spans="1:19">
      <c r="A60" s="24" t="s">
        <v>276</v>
      </c>
      <c r="B60" s="21" t="s">
        <v>277</v>
      </c>
      <c r="C60" s="25">
        <v>1500</v>
      </c>
    </row>
    <row r="61" spans="1:19">
      <c r="A61" s="24" t="s">
        <v>129</v>
      </c>
      <c r="B61" s="21" t="s">
        <v>130</v>
      </c>
      <c r="C61" s="25">
        <v>1500</v>
      </c>
    </row>
    <row r="62" spans="1:19">
      <c r="A62" s="24" t="s">
        <v>316</v>
      </c>
      <c r="B62" s="21" t="s">
        <v>317</v>
      </c>
      <c r="C62" s="25">
        <v>1500</v>
      </c>
    </row>
    <row r="63" spans="1:19">
      <c r="A63" s="22" t="s">
        <v>243</v>
      </c>
      <c r="B63" s="20" t="s">
        <v>244</v>
      </c>
      <c r="C63" s="23">
        <v>1400</v>
      </c>
    </row>
    <row r="64" spans="1:19">
      <c r="A64" s="24" t="s">
        <v>184</v>
      </c>
      <c r="B64" s="21" t="s">
        <v>185</v>
      </c>
      <c r="C64" s="25">
        <v>1400</v>
      </c>
    </row>
    <row r="65" spans="1:3">
      <c r="A65" s="24" t="s">
        <v>200</v>
      </c>
      <c r="B65" s="21" t="s">
        <v>201</v>
      </c>
      <c r="C65" s="25">
        <v>1400</v>
      </c>
    </row>
    <row r="66" spans="1:3">
      <c r="A66" s="22" t="s">
        <v>127</v>
      </c>
      <c r="B66" s="20" t="s">
        <v>128</v>
      </c>
      <c r="C66" s="23">
        <v>1375</v>
      </c>
    </row>
    <row r="67" spans="1:3">
      <c r="A67" s="24" t="s">
        <v>133</v>
      </c>
      <c r="B67" s="21" t="s">
        <v>134</v>
      </c>
      <c r="C67" s="25">
        <v>1375</v>
      </c>
    </row>
    <row r="68" spans="1:3">
      <c r="A68" s="24" t="s">
        <v>300</v>
      </c>
      <c r="B68" s="21" t="s">
        <v>301</v>
      </c>
      <c r="C68" s="25">
        <v>1350</v>
      </c>
    </row>
    <row r="69" spans="1:3">
      <c r="A69" s="24" t="s">
        <v>90</v>
      </c>
      <c r="B69" s="21" t="s">
        <v>91</v>
      </c>
      <c r="C69" s="25">
        <v>1300</v>
      </c>
    </row>
    <row r="70" spans="1:3">
      <c r="A70" s="24" t="s">
        <v>308</v>
      </c>
      <c r="B70" s="21" t="s">
        <v>309</v>
      </c>
      <c r="C70" s="25">
        <v>1300</v>
      </c>
    </row>
    <row r="71" spans="1:3">
      <c r="A71" s="22" t="s">
        <v>306</v>
      </c>
      <c r="B71" s="20" t="s">
        <v>307</v>
      </c>
      <c r="C71" s="23">
        <v>1300</v>
      </c>
    </row>
    <row r="72" spans="1:3">
      <c r="A72" s="24" t="s">
        <v>98</v>
      </c>
      <c r="B72" s="21" t="s">
        <v>99</v>
      </c>
      <c r="C72" s="25">
        <v>1250</v>
      </c>
    </row>
    <row r="73" spans="1:3">
      <c r="A73" s="24" t="s">
        <v>296</v>
      </c>
      <c r="B73" s="21" t="s">
        <v>297</v>
      </c>
      <c r="C73" s="25">
        <v>1250</v>
      </c>
    </row>
    <row r="74" spans="1:3">
      <c r="A74" s="22" t="s">
        <v>217</v>
      </c>
      <c r="B74" s="20" t="s">
        <v>218</v>
      </c>
      <c r="C74" s="23">
        <v>1200</v>
      </c>
    </row>
    <row r="75" spans="1:3">
      <c r="A75" s="22" t="s">
        <v>96</v>
      </c>
      <c r="B75" s="20" t="s">
        <v>97</v>
      </c>
      <c r="C75" s="23">
        <v>1200</v>
      </c>
    </row>
    <row r="76" spans="1:3">
      <c r="A76" s="24" t="s">
        <v>192</v>
      </c>
      <c r="B76" s="21" t="s">
        <v>193</v>
      </c>
      <c r="C76" s="25">
        <v>1200</v>
      </c>
    </row>
    <row r="77" spans="1:3">
      <c r="A77" s="24" t="s">
        <v>284</v>
      </c>
      <c r="B77" s="21" t="s">
        <v>285</v>
      </c>
      <c r="C77" s="25">
        <v>1150</v>
      </c>
    </row>
    <row r="78" spans="1:3">
      <c r="A78" s="22" t="s">
        <v>77</v>
      </c>
      <c r="B78" s="20" t="s">
        <v>8</v>
      </c>
      <c r="C78" s="23">
        <v>1100</v>
      </c>
    </row>
    <row r="79" spans="1:3">
      <c r="A79" s="24" t="s">
        <v>288</v>
      </c>
      <c r="B79" s="21" t="s">
        <v>289</v>
      </c>
      <c r="C79" s="25">
        <v>1100</v>
      </c>
    </row>
    <row r="80" spans="1:3">
      <c r="A80" s="22" t="s">
        <v>58</v>
      </c>
      <c r="B80" s="20" t="s">
        <v>59</v>
      </c>
      <c r="C80" s="23">
        <v>1000</v>
      </c>
    </row>
    <row r="81" spans="1:3">
      <c r="A81" s="22" t="s">
        <v>116</v>
      </c>
      <c r="B81" s="20" t="s">
        <v>117</v>
      </c>
      <c r="C81" s="23">
        <v>1000</v>
      </c>
    </row>
    <row r="82" spans="1:3">
      <c r="A82" s="24" t="s">
        <v>226</v>
      </c>
      <c r="B82" s="21" t="s">
        <v>227</v>
      </c>
      <c r="C82" s="25">
        <v>1000</v>
      </c>
    </row>
    <row r="83" spans="1:3">
      <c r="A83" s="24" t="s">
        <v>208</v>
      </c>
      <c r="B83" s="21" t="s">
        <v>209</v>
      </c>
      <c r="C83" s="25">
        <v>1000</v>
      </c>
    </row>
    <row r="84" spans="1:3">
      <c r="A84" s="22" t="s">
        <v>286</v>
      </c>
      <c r="B84" s="20" t="s">
        <v>287</v>
      </c>
      <c r="C84" s="23">
        <v>950</v>
      </c>
    </row>
    <row r="85" spans="1:3">
      <c r="A85" s="22" t="s">
        <v>235</v>
      </c>
      <c r="B85" s="20" t="s">
        <v>236</v>
      </c>
      <c r="C85" s="23">
        <v>900</v>
      </c>
    </row>
    <row r="86" spans="1:3">
      <c r="A86" s="22" t="s">
        <v>151</v>
      </c>
      <c r="B86" s="20" t="s">
        <v>152</v>
      </c>
      <c r="C86" s="23">
        <v>850</v>
      </c>
    </row>
    <row r="87" spans="1:3">
      <c r="A87" s="22" t="s">
        <v>178</v>
      </c>
      <c r="B87" s="20" t="s">
        <v>179</v>
      </c>
      <c r="C87" s="23">
        <v>850</v>
      </c>
    </row>
    <row r="88" spans="1:3">
      <c r="A88" s="22" t="s">
        <v>310</v>
      </c>
      <c r="B88" s="20" t="s">
        <v>311</v>
      </c>
      <c r="C88" s="23">
        <v>800</v>
      </c>
    </row>
    <row r="89" spans="1:3">
      <c r="A89" s="24" t="s">
        <v>265</v>
      </c>
      <c r="B89" s="21" t="s">
        <v>266</v>
      </c>
      <c r="C89" s="25">
        <v>800</v>
      </c>
    </row>
    <row r="90" spans="1:3">
      <c r="A90" s="22" t="s">
        <v>298</v>
      </c>
      <c r="B90" s="20" t="s">
        <v>299</v>
      </c>
      <c r="C90" s="23">
        <v>750</v>
      </c>
    </row>
    <row r="91" spans="1:3">
      <c r="A91" s="22" t="s">
        <v>302</v>
      </c>
      <c r="B91" s="20" t="s">
        <v>303</v>
      </c>
      <c r="C91" s="23">
        <v>750</v>
      </c>
    </row>
    <row r="92" spans="1:3">
      <c r="A92" s="22" t="s">
        <v>194</v>
      </c>
      <c r="B92" s="20" t="s">
        <v>195</v>
      </c>
      <c r="C92" s="23">
        <v>750</v>
      </c>
    </row>
    <row r="93" spans="1:3">
      <c r="A93" s="22" t="s">
        <v>282</v>
      </c>
      <c r="B93" s="20" t="s">
        <v>283</v>
      </c>
      <c r="C93" s="23">
        <v>700</v>
      </c>
    </row>
    <row r="94" spans="1:3">
      <c r="A94" s="22" t="s">
        <v>228</v>
      </c>
      <c r="B94" s="20" t="s">
        <v>229</v>
      </c>
      <c r="C94" s="23">
        <v>700</v>
      </c>
    </row>
    <row r="95" spans="1:3">
      <c r="A95" s="24" t="s">
        <v>204</v>
      </c>
      <c r="B95" s="21" t="s">
        <v>205</v>
      </c>
      <c r="C95" s="25">
        <v>700</v>
      </c>
    </row>
    <row r="96" spans="1:3">
      <c r="A96" s="24" t="s">
        <v>68</v>
      </c>
      <c r="B96" s="21" t="s">
        <v>69</v>
      </c>
      <c r="C96" s="25">
        <v>650</v>
      </c>
    </row>
    <row r="97" spans="1:3">
      <c r="A97" s="24" t="s">
        <v>118</v>
      </c>
      <c r="B97" s="21" t="s">
        <v>119</v>
      </c>
      <c r="C97" s="25">
        <v>650</v>
      </c>
    </row>
    <row r="98" spans="1:3">
      <c r="A98" s="24" t="s">
        <v>137</v>
      </c>
      <c r="B98" s="21" t="s">
        <v>138</v>
      </c>
      <c r="C98" s="25">
        <v>600</v>
      </c>
    </row>
    <row r="99" spans="1:3">
      <c r="A99" s="24" t="s">
        <v>273</v>
      </c>
      <c r="B99" s="21" t="s">
        <v>274</v>
      </c>
      <c r="C99" s="25">
        <v>600</v>
      </c>
    </row>
    <row r="100" spans="1:3">
      <c r="A100" s="24" t="s">
        <v>149</v>
      </c>
      <c r="B100" s="21" t="s">
        <v>150</v>
      </c>
      <c r="C100" s="25">
        <v>575</v>
      </c>
    </row>
    <row r="101" spans="1:3">
      <c r="A101" s="24" t="s">
        <v>75</v>
      </c>
      <c r="B101" s="21" t="s">
        <v>76</v>
      </c>
      <c r="C101" s="25">
        <v>550</v>
      </c>
    </row>
    <row r="102" spans="1:3">
      <c r="A102" s="22" t="s">
        <v>108</v>
      </c>
      <c r="B102" s="20" t="s">
        <v>109</v>
      </c>
      <c r="C102" s="23">
        <v>550</v>
      </c>
    </row>
    <row r="103" spans="1:3">
      <c r="A103" s="24" t="s">
        <v>230</v>
      </c>
      <c r="B103" s="21" t="s">
        <v>231</v>
      </c>
      <c r="C103" s="25">
        <v>550</v>
      </c>
    </row>
    <row r="104" spans="1:3">
      <c r="A104" s="22" t="s">
        <v>171</v>
      </c>
      <c r="B104" s="20" t="s">
        <v>172</v>
      </c>
      <c r="C104" s="23">
        <v>550</v>
      </c>
    </row>
    <row r="105" spans="1:3">
      <c r="A105" s="22" t="s">
        <v>182</v>
      </c>
      <c r="B105" s="20" t="s">
        <v>183</v>
      </c>
      <c r="C105" s="23">
        <v>550</v>
      </c>
    </row>
    <row r="106" spans="1:3">
      <c r="A106" s="24" t="s">
        <v>56</v>
      </c>
      <c r="B106" s="21" t="s">
        <v>57</v>
      </c>
      <c r="C106" s="25">
        <v>500</v>
      </c>
    </row>
    <row r="107" spans="1:3">
      <c r="A107" s="22" t="s">
        <v>54</v>
      </c>
      <c r="B107" s="20" t="s">
        <v>55</v>
      </c>
      <c r="C107" s="23">
        <v>500</v>
      </c>
    </row>
    <row r="108" spans="1:3">
      <c r="A108" s="22" t="s">
        <v>135</v>
      </c>
      <c r="B108" s="20" t="s">
        <v>136</v>
      </c>
      <c r="C108" s="23">
        <v>500</v>
      </c>
    </row>
    <row r="109" spans="1:3">
      <c r="A109" s="22" t="s">
        <v>175</v>
      </c>
      <c r="B109" s="20" t="s">
        <v>23</v>
      </c>
      <c r="C109" s="23">
        <v>500</v>
      </c>
    </row>
    <row r="110" spans="1:3">
      <c r="A110" s="24" t="s">
        <v>320</v>
      </c>
      <c r="B110" s="21" t="s">
        <v>321</v>
      </c>
      <c r="C110" s="25">
        <v>425</v>
      </c>
    </row>
    <row r="111" spans="1:3">
      <c r="A111" s="22" t="s">
        <v>232</v>
      </c>
      <c r="B111" s="20" t="s">
        <v>233</v>
      </c>
      <c r="C111" s="23">
        <v>425</v>
      </c>
    </row>
    <row r="112" spans="1:3">
      <c r="A112" s="24" t="s">
        <v>257</v>
      </c>
      <c r="B112" s="21" t="s">
        <v>258</v>
      </c>
      <c r="C112" s="25">
        <v>407</v>
      </c>
    </row>
    <row r="113" spans="1:3">
      <c r="A113" s="22" t="s">
        <v>275</v>
      </c>
      <c r="B113" s="20" t="s">
        <v>7</v>
      </c>
      <c r="C113" s="23">
        <v>400</v>
      </c>
    </row>
    <row r="114" spans="1:3">
      <c r="A114" s="24" t="s">
        <v>145</v>
      </c>
      <c r="B114" s="21" t="s">
        <v>146</v>
      </c>
      <c r="C114" s="25">
        <v>400</v>
      </c>
    </row>
    <row r="115" spans="1:3">
      <c r="A115" s="22" t="s">
        <v>224</v>
      </c>
      <c r="B115" s="20" t="s">
        <v>225</v>
      </c>
      <c r="C115" s="23">
        <v>375</v>
      </c>
    </row>
    <row r="116" spans="1:3">
      <c r="A116" s="24" t="s">
        <v>106</v>
      </c>
      <c r="B116" s="21" t="s">
        <v>107</v>
      </c>
      <c r="C116" s="25">
        <v>350</v>
      </c>
    </row>
    <row r="117" spans="1:3">
      <c r="A117" s="24" t="s">
        <v>216</v>
      </c>
      <c r="B117" s="21" t="s">
        <v>4</v>
      </c>
      <c r="C117" s="25">
        <v>300</v>
      </c>
    </row>
    <row r="118" spans="1:3">
      <c r="A118" s="22" t="s">
        <v>120</v>
      </c>
      <c r="B118" s="20" t="s">
        <v>121</v>
      </c>
      <c r="C118" s="23">
        <v>300</v>
      </c>
    </row>
    <row r="119" spans="1:3">
      <c r="A119" s="24" t="s">
        <v>122</v>
      </c>
      <c r="B119" s="21" t="s">
        <v>123</v>
      </c>
      <c r="C119" s="25">
        <v>300</v>
      </c>
    </row>
    <row r="120" spans="1:3">
      <c r="A120" s="24" t="s">
        <v>126</v>
      </c>
      <c r="B120" s="21" t="s">
        <v>14</v>
      </c>
      <c r="C120" s="25">
        <v>300</v>
      </c>
    </row>
    <row r="121" spans="1:3">
      <c r="A121" s="24" t="s">
        <v>269</v>
      </c>
      <c r="B121" s="21" t="s">
        <v>270</v>
      </c>
      <c r="C121" s="25">
        <v>300</v>
      </c>
    </row>
    <row r="122" spans="1:3">
      <c r="A122" s="22" t="s">
        <v>70</v>
      </c>
      <c r="B122" s="20" t="s">
        <v>71</v>
      </c>
      <c r="C122" s="23">
        <v>250</v>
      </c>
    </row>
    <row r="123" spans="1:3">
      <c r="A123" s="24" t="s">
        <v>72</v>
      </c>
      <c r="B123" s="21" t="s">
        <v>5</v>
      </c>
      <c r="C123" s="25">
        <v>250</v>
      </c>
    </row>
    <row r="124" spans="1:3">
      <c r="A124" s="24" t="s">
        <v>324</v>
      </c>
      <c r="B124" s="28" t="s">
        <v>325</v>
      </c>
      <c r="C124" s="25">
        <v>250</v>
      </c>
    </row>
    <row r="125" spans="1:3">
      <c r="A125" s="24" t="s">
        <v>161</v>
      </c>
      <c r="B125" s="21" t="s">
        <v>162</v>
      </c>
      <c r="C125" s="25">
        <v>250</v>
      </c>
    </row>
    <row r="126" spans="1:3">
      <c r="A126" s="22" t="s">
        <v>143</v>
      </c>
      <c r="B126" s="20" t="s">
        <v>144</v>
      </c>
      <c r="C126" s="23">
        <v>250</v>
      </c>
    </row>
    <row r="127" spans="1:3">
      <c r="A127" s="24" t="s">
        <v>261</v>
      </c>
      <c r="B127" s="21" t="s">
        <v>262</v>
      </c>
      <c r="C127" s="25">
        <v>250</v>
      </c>
    </row>
    <row r="128" spans="1:3">
      <c r="A128" s="24" t="s">
        <v>196</v>
      </c>
      <c r="B128" s="21" t="s">
        <v>197</v>
      </c>
      <c r="C128" s="25">
        <v>250</v>
      </c>
    </row>
    <row r="129" spans="1:3">
      <c r="A129" s="22" t="s">
        <v>84</v>
      </c>
      <c r="B129" s="20" t="s">
        <v>85</v>
      </c>
      <c r="C129" s="23">
        <v>200</v>
      </c>
    </row>
    <row r="130" spans="1:3">
      <c r="A130" s="22" t="s">
        <v>100</v>
      </c>
      <c r="B130" s="20" t="s">
        <v>101</v>
      </c>
      <c r="C130" s="23">
        <v>200</v>
      </c>
    </row>
    <row r="131" spans="1:3">
      <c r="A131" s="22" t="s">
        <v>322</v>
      </c>
      <c r="B131" s="20" t="s">
        <v>323</v>
      </c>
      <c r="C131" s="23">
        <v>200</v>
      </c>
    </row>
    <row r="132" spans="1:3">
      <c r="A132" s="22" t="s">
        <v>206</v>
      </c>
      <c r="B132" s="20" t="s">
        <v>207</v>
      </c>
      <c r="C132" s="23">
        <v>200</v>
      </c>
    </row>
    <row r="133" spans="1:3">
      <c r="A133" s="24" t="s">
        <v>219</v>
      </c>
      <c r="B133" s="21" t="s">
        <v>6</v>
      </c>
      <c r="C133" s="25">
        <v>125</v>
      </c>
    </row>
    <row r="134" spans="1:3">
      <c r="A134" s="22" t="s">
        <v>104</v>
      </c>
      <c r="B134" s="20" t="s">
        <v>105</v>
      </c>
      <c r="C134" s="23">
        <v>125</v>
      </c>
    </row>
    <row r="135" spans="1:3">
      <c r="A135" s="22" t="s">
        <v>318</v>
      </c>
      <c r="B135" s="20" t="s">
        <v>319</v>
      </c>
      <c r="C135" s="23">
        <v>125</v>
      </c>
    </row>
    <row r="136" spans="1:3">
      <c r="A136" s="22" t="s">
        <v>155</v>
      </c>
      <c r="B136" s="20" t="s">
        <v>156</v>
      </c>
      <c r="C136" s="23">
        <v>100</v>
      </c>
    </row>
    <row r="137" spans="1:3">
      <c r="A137" s="24" t="s">
        <v>52</v>
      </c>
      <c r="B137" s="21" t="s">
        <v>53</v>
      </c>
      <c r="C137" s="25">
        <v>75</v>
      </c>
    </row>
    <row r="138" spans="1:3">
      <c r="A138" s="22" t="s">
        <v>80</v>
      </c>
      <c r="B138" s="20" t="s">
        <v>81</v>
      </c>
      <c r="C138" s="23">
        <v>50</v>
      </c>
    </row>
    <row r="139" spans="1:3">
      <c r="A139" s="22" t="s">
        <v>163</v>
      </c>
      <c r="B139" s="20" t="s">
        <v>164</v>
      </c>
      <c r="C139" s="23">
        <v>50</v>
      </c>
    </row>
    <row r="140" spans="1:3">
      <c r="A140" s="24" t="s">
        <v>304</v>
      </c>
      <c r="B140" s="21" t="s">
        <v>305</v>
      </c>
      <c r="C140" s="25">
        <v>50</v>
      </c>
    </row>
    <row r="141" spans="1:3">
      <c r="A141" s="24" t="s">
        <v>249</v>
      </c>
      <c r="B141" s="21" t="s">
        <v>250</v>
      </c>
      <c r="C141" s="25">
        <v>30</v>
      </c>
    </row>
    <row r="142" spans="1:3">
      <c r="A142" s="22" t="s">
        <v>50</v>
      </c>
      <c r="B142" s="20" t="s">
        <v>51</v>
      </c>
      <c r="C142" s="23">
        <v>25</v>
      </c>
    </row>
    <row r="143" spans="1:3" ht="15" thickBot="1">
      <c r="A143" s="119" t="s">
        <v>159</v>
      </c>
      <c r="B143" s="120" t="s">
        <v>160</v>
      </c>
      <c r="C143" s="121">
        <v>10</v>
      </c>
    </row>
  </sheetData>
  <autoFilter ref="A1:C144" xr:uid="{95D941E6-D918-471A-8186-9F6BEBEF762C}">
    <sortState xmlns:xlrd2="http://schemas.microsoft.com/office/spreadsheetml/2017/richdata2" ref="A2:C143">
      <sortCondition descending="1" ref="C1:C144"/>
    </sortState>
  </autoFilter>
  <mergeCells count="2">
    <mergeCell ref="M15:N15"/>
    <mergeCell ref="T1:U1"/>
  </mergeCells>
  <hyperlinks>
    <hyperlink ref="E2" r:id="rId1" xr:uid="{257312B5-98C4-4276-A61D-501AA8586469}"/>
  </hyperlinks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POSnSizing</vt:lpstr>
      <vt:lpstr>Buff Strat</vt:lpstr>
      <vt:lpstr>FRAMEWORK_SAPRM</vt:lpstr>
      <vt:lpstr>STRAT</vt:lpstr>
      <vt:lpstr>SETUP_Rules</vt:lpstr>
      <vt:lpstr>MONTH_YYYY</vt:lpstr>
      <vt:lpstr>OPTIONS_LOTSIZE_IND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Jasvir Singh Nagi</dc:creator>
  <cp:lastModifiedBy>Jasvir Singh Nagi</cp:lastModifiedBy>
  <dcterms:created xsi:type="dcterms:W3CDTF">2020-08-02T17:44:31Z</dcterms:created>
  <dcterms:modified xsi:type="dcterms:W3CDTF">2022-10-11T14:01:21Z</dcterms:modified>
</cp:coreProperties>
</file>